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510" yWindow="570" windowWidth="23655" windowHeight="11445" tabRatio="852" firstSheet="20" activeTab="2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Т-пит'!$64:$65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Т-тех'!$74:$75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Т-пит'!$66:$67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Т-тех'!$76:$77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тарифов'!$79:$112</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тарифов'!$114:$128</definedName>
    <definedName name="BLOCK_PT_VOTV">'Перечень тарифов'!$130:$144</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территорий'!$E$42:$I$42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тарифов'!$Z$12:$Z$146</definedName>
    <definedName name="DIFFERENTIATION_TARIFF_VD_ID">'Перечень тарифов'!$AB$12:$AB$146</definedName>
    <definedName name="DIFFERENTIATION_TARIFF_VTAR_ID">'Перечень тарифов'!$AA$12:$AA$146</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территорий'!$C$12:$C$42</definedName>
    <definedName name="pDel_LT_MO">'Список территорий'!$D$11:$D$42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Т-тех'!$T$73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Т-тех'!$AQ$37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Т-пит'!$53:$60</definedName>
    <definedName name="pt_cs_31">'ХВС. Т-тех'!$53:$60</definedName>
    <definedName name="pt_cs_32">'ХВС. Т-тех'!$63:$70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тарифов'!$AL$12:$AL$146</definedName>
    <definedName name="PT_DIFFERENTIATION_CS_ID">'Перечень тарифов'!$AF$12:$AF$146</definedName>
    <definedName name="PT_DIFFERENTIATION_IST_TE">'Перечень тарифов'!$AM$12:$AM$146</definedName>
    <definedName name="PT_DIFFERENTIATION_IST_TE_ID">'Перечень тарифов'!$AG$12:$AG$146</definedName>
    <definedName name="PT_DIFFERENTIATION_NTAR">'Перечень тарифов'!$AJ$12:$AJ$146</definedName>
    <definedName name="PT_DIFFERENTIATION_NTAR_ID">'Перечень тарифов'!$AD$12:$AD$146</definedName>
    <definedName name="PT_DIFFERENTIATION_NUM_CS">'Перечень тарифов'!$AP$12:$AP$146</definedName>
    <definedName name="PT_DIFFERENTIATION_NUM_IST_TE">'Перечень тарифов'!$AQ$12:$AQ$146</definedName>
    <definedName name="PT_DIFFERENTIATION_NUM_NTAR">'Перечень тарифов'!$AN$12:$AN$146</definedName>
    <definedName name="PT_DIFFERENTIATION_NUM_TER">'Перечень тарифов'!$AO$12:$AO$146</definedName>
    <definedName name="PT_DIFFERENTIATION_TER">'Перечень тарифов'!$AK$12:$AK$146</definedName>
    <definedName name="PT_DIFFERENTIATION_TER_ID">'Перечень тарифов'!$AE$12:$AE$146</definedName>
    <definedName name="PT_DIFFERENTIATION_VDET">'Перечень тарифов'!$AI$12:$AI$146</definedName>
    <definedName name="PT_DIFFERENTIATION_VTAR">'Перечень тарифов'!$AH$12:$AH$146</definedName>
    <definedName name="PT_DIFFERENTIATION_VTAR_ID">'Перечень тарифов'!$AC$12:$AC$146</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Т-тех'!$41:$72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Т-пит'!$41:$62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Т-пит'!$52:$61</definedName>
    <definedName name="pt_ter_31">'ХВС. Т-тех'!$52:$61</definedName>
    <definedName name="pt_ter_32">'ХВС. Т-тех'!$62:$71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тарифов'!$W$145</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Т-пит'!$AQ$64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Т-тех'!$AQ$74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территорий'!$G$13:$I$15</definedName>
    <definedName name="ter_5">'Список территорий'!$G$18:$I$22</definedName>
    <definedName name="ter_51">'Список территорий'!$G$25:$I$29</definedName>
    <definedName name="ter_511">'Список территорий'!$G$32:$I$37</definedName>
    <definedName name="ter_5111">'Список территорий'!$G$40:$I$40</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территорий'!$E$11:$I$42</definedName>
    <definedName name="TERRITORY_ID">TEHSHEET!$E$56</definedName>
    <definedName name="TERRITORY_LIST_ID">'Список территорий'!$F$11:$F$42</definedName>
    <definedName name="TERRITORY_MO_LIST">'Список территорий'!$H$11:$H$42</definedName>
    <definedName name="TERRITORY_MR_LIST">'Список территорий'!$G$11:$G$42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00"/>
  <c r="M100" s="1"/>
  <c r="F129" i="33" s="1"/>
  <c r="I100" i="63"/>
  <c r="L100" s="1"/>
  <c r="E129" i="33" s="1"/>
  <c r="K99" i="63"/>
  <c r="N99" s="1"/>
  <c r="J128" i="33" s="1"/>
  <c r="J99" i="63"/>
  <c r="M99" s="1"/>
  <c r="I99"/>
  <c r="L99" s="1"/>
  <c r="E128" i="33" s="1"/>
  <c r="K98" i="63"/>
  <c r="N98" s="1"/>
  <c r="J127" i="33" s="1"/>
  <c r="J98" i="63"/>
  <c r="M98" s="1"/>
  <c r="F127" i="33" s="1"/>
  <c r="I98" i="63"/>
  <c r="L98" s="1"/>
  <c r="E127" i="33" s="1"/>
  <c r="K97" i="63"/>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K94" i="63"/>
  <c r="N94" s="1"/>
  <c r="J117" i="33" s="1"/>
  <c r="J94" i="63"/>
  <c r="M94" s="1"/>
  <c r="F117" i="33" s="1"/>
  <c r="I94" i="63"/>
  <c r="L94" s="1"/>
  <c r="E117" i="33" s="1"/>
  <c r="E118" s="1"/>
  <c r="K93" i="63"/>
  <c r="N93" s="1"/>
  <c r="J116" i="33" s="1"/>
  <c r="J93" i="63"/>
  <c r="M93" s="1"/>
  <c r="F116" i="33" s="1"/>
  <c r="I93" i="63"/>
  <c r="L93" s="1"/>
  <c r="E116" i="33" s="1"/>
  <c r="L92" i="63"/>
  <c r="K92"/>
  <c r="N92" s="1"/>
  <c r="J115" i="33" s="1"/>
  <c r="J92" i="63"/>
  <c r="M92" s="1"/>
  <c r="F115" i="33" s="1"/>
  <c r="I92" i="63"/>
  <c r="K91"/>
  <c r="N91" s="1"/>
  <c r="J114" i="33" s="1"/>
  <c r="J91" i="63"/>
  <c r="M91" s="1"/>
  <c r="F114" i="33" s="1"/>
  <c r="I91" i="63"/>
  <c r="L91" s="1"/>
  <c r="M90"/>
  <c r="L90"/>
  <c r="K90"/>
  <c r="N90" s="1"/>
  <c r="J113" i="33" s="1"/>
  <c r="J90" i="63"/>
  <c r="I90"/>
  <c r="K89"/>
  <c r="N89" s="1"/>
  <c r="J112" i="33" s="1"/>
  <c r="J89" i="63"/>
  <c r="M89" s="1"/>
  <c r="F112" i="33" s="1"/>
  <c r="I89" i="63"/>
  <c r="L89" s="1"/>
  <c r="E112" i="33" s="1"/>
  <c r="M88" i="63"/>
  <c r="K88"/>
  <c r="N88" s="1"/>
  <c r="J111" i="33" s="1"/>
  <c r="J88" i="63"/>
  <c r="I88"/>
  <c r="L88" s="1"/>
  <c r="E111" i="33" s="1"/>
  <c r="N87" i="63"/>
  <c r="K87"/>
  <c r="J87"/>
  <c r="M87" s="1"/>
  <c r="F110" i="33" s="1"/>
  <c r="I87" i="63"/>
  <c r="L87" s="1"/>
  <c r="K86"/>
  <c r="N86" s="1"/>
  <c r="J109" i="33" s="1"/>
  <c r="J86" i="63"/>
  <c r="M86" s="1"/>
  <c r="F109" i="33" s="1"/>
  <c r="I86" i="63"/>
  <c r="L86" s="1"/>
  <c r="E109" i="33" s="1"/>
  <c r="K85" i="63"/>
  <c r="N85" s="1"/>
  <c r="J108" i="33" s="1"/>
  <c r="J85" i="63"/>
  <c r="M85" s="1"/>
  <c r="F108" i="33" s="1"/>
  <c r="I85" i="63"/>
  <c r="L85" s="1"/>
  <c r="E108" i="33" s="1"/>
  <c r="L84" i="63"/>
  <c r="K84"/>
  <c r="N84" s="1"/>
  <c r="J107" i="33" s="1"/>
  <c r="J84" i="63"/>
  <c r="M84" s="1"/>
  <c r="F107" i="33" s="1"/>
  <c r="I84" i="63"/>
  <c r="K83"/>
  <c r="N83" s="1"/>
  <c r="J106" i="33" s="1"/>
  <c r="J83" i="63"/>
  <c r="M83" s="1"/>
  <c r="F106" i="33" s="1"/>
  <c r="I83" i="63"/>
  <c r="L83" s="1"/>
  <c r="M82"/>
  <c r="L82"/>
  <c r="K82"/>
  <c r="N82" s="1"/>
  <c r="J105" i="33" s="1"/>
  <c r="J82" i="63"/>
  <c r="I82"/>
  <c r="K81"/>
  <c r="N81" s="1"/>
  <c r="J104" i="33" s="1"/>
  <c r="J81" i="63"/>
  <c r="M81" s="1"/>
  <c r="F104" i="33" s="1"/>
  <c r="I81" i="63"/>
  <c r="L81" s="1"/>
  <c r="E104" i="33" s="1"/>
  <c r="M80" i="63"/>
  <c r="L80"/>
  <c r="K80"/>
  <c r="N80" s="1"/>
  <c r="J103" i="33" s="1"/>
  <c r="J80" i="63"/>
  <c r="I80"/>
  <c r="N79"/>
  <c r="K79"/>
  <c r="J79"/>
  <c r="M79" s="1"/>
  <c r="F102" i="33" s="1"/>
  <c r="I79" i="63"/>
  <c r="L79" s="1"/>
  <c r="M78"/>
  <c r="K78"/>
  <c r="N78" s="1"/>
  <c r="J99" i="33" s="1"/>
  <c r="J78" i="63"/>
  <c r="I78"/>
  <c r="L78" s="1"/>
  <c r="E99" i="33" s="1"/>
  <c r="E100" s="1"/>
  <c r="K77" i="63"/>
  <c r="N77" s="1"/>
  <c r="J98" i="33" s="1"/>
  <c r="J77" i="63"/>
  <c r="M77" s="1"/>
  <c r="F98" i="33" s="1"/>
  <c r="I77" i="63"/>
  <c r="L77" s="1"/>
  <c r="E98" i="33" s="1"/>
  <c r="L76" i="63"/>
  <c r="K76"/>
  <c r="N76" s="1"/>
  <c r="J76"/>
  <c r="M76" s="1"/>
  <c r="F97" i="33" s="1"/>
  <c r="I76" i="63"/>
  <c r="K75"/>
  <c r="N75" s="1"/>
  <c r="J96" i="33" s="1"/>
  <c r="J75" i="63"/>
  <c r="M75" s="1"/>
  <c r="I75"/>
  <c r="L75" s="1"/>
  <c r="E96" i="33" s="1"/>
  <c r="M74" i="63"/>
  <c r="L74"/>
  <c r="K74"/>
  <c r="N74" s="1"/>
  <c r="J95" i="33" s="1"/>
  <c r="J74" i="63"/>
  <c r="I74"/>
  <c r="K73"/>
  <c r="N73" s="1"/>
  <c r="J94" i="33" s="1"/>
  <c r="J73" i="63"/>
  <c r="M73" s="1"/>
  <c r="F94" i="33" s="1"/>
  <c r="I73" i="63"/>
  <c r="L73" s="1"/>
  <c r="E94" i="33" s="1"/>
  <c r="M72" i="63"/>
  <c r="L72"/>
  <c r="K72"/>
  <c r="N72" s="1"/>
  <c r="J72"/>
  <c r="I72"/>
  <c r="N71"/>
  <c r="K71"/>
  <c r="J71"/>
  <c r="M71" s="1"/>
  <c r="I71"/>
  <c r="L71" s="1"/>
  <c r="E92" i="33" s="1"/>
  <c r="M70" i="63"/>
  <c r="K70"/>
  <c r="N70" s="1"/>
  <c r="J91" i="33" s="1"/>
  <c r="J70" i="63"/>
  <c r="I70"/>
  <c r="L70" s="1"/>
  <c r="E91" i="33" s="1"/>
  <c r="K69" i="63"/>
  <c r="N69" s="1"/>
  <c r="J90" i="33" s="1"/>
  <c r="J69" i="63"/>
  <c r="M69" s="1"/>
  <c r="F90" i="33" s="1"/>
  <c r="I69" i="63"/>
  <c r="L69" s="1"/>
  <c r="E90" i="33" s="1"/>
  <c r="L68" i="63"/>
  <c r="K68"/>
  <c r="N68" s="1"/>
  <c r="J68"/>
  <c r="M68" s="1"/>
  <c r="F89" i="33" s="1"/>
  <c r="I68" i="63"/>
  <c r="K67"/>
  <c r="N67" s="1"/>
  <c r="J88" i="33" s="1"/>
  <c r="J67" i="63"/>
  <c r="M67" s="1"/>
  <c r="I67"/>
  <c r="L67" s="1"/>
  <c r="E88" i="33" s="1"/>
  <c r="M66" i="63"/>
  <c r="L66"/>
  <c r="K66"/>
  <c r="N66" s="1"/>
  <c r="J87" i="33" s="1"/>
  <c r="J66" i="63"/>
  <c r="I66"/>
  <c r="K65"/>
  <c r="N65" s="1"/>
  <c r="J86" i="33" s="1"/>
  <c r="J65" i="63"/>
  <c r="M65" s="1"/>
  <c r="I65"/>
  <c r="L65" s="1"/>
  <c r="E86" i="33" s="1"/>
  <c r="L64" i="63"/>
  <c r="K64"/>
  <c r="N64" s="1"/>
  <c r="J85" i="33" s="1"/>
  <c r="J64" i="63"/>
  <c r="M64" s="1"/>
  <c r="F85" i="33" s="1"/>
  <c r="I64" i="63"/>
  <c r="N63"/>
  <c r="K63"/>
  <c r="J63"/>
  <c r="M63" s="1"/>
  <c r="F84" i="33" s="1"/>
  <c r="I63" i="63"/>
  <c r="L63" s="1"/>
  <c r="E84" i="33" s="1"/>
  <c r="M62" i="63"/>
  <c r="K62"/>
  <c r="N62" s="1"/>
  <c r="J62"/>
  <c r="I62"/>
  <c r="L62" s="1"/>
  <c r="E83" i="33" s="1"/>
  <c r="K61" i="63"/>
  <c r="N61" s="1"/>
  <c r="J82" i="33" s="1"/>
  <c r="J61" i="63"/>
  <c r="M61" s="1"/>
  <c r="I61"/>
  <c r="L61" s="1"/>
  <c r="E82" i="33" s="1"/>
  <c r="L60" i="63"/>
  <c r="K60"/>
  <c r="N60" s="1"/>
  <c r="J81" i="33" s="1"/>
  <c r="J60" i="63"/>
  <c r="M60" s="1"/>
  <c r="F81" i="33" s="1"/>
  <c r="I60" i="63"/>
  <c r="K59"/>
  <c r="N59" s="1"/>
  <c r="J80" i="33" s="1"/>
  <c r="J59" i="63"/>
  <c r="M59" s="1"/>
  <c r="F80" i="33" s="1"/>
  <c r="I59" i="63"/>
  <c r="L59" s="1"/>
  <c r="E80" i="33" s="1"/>
  <c r="T58" i="63"/>
  <c r="N58"/>
  <c r="M58"/>
  <c r="K58"/>
  <c r="J58"/>
  <c r="I58"/>
  <c r="L58" s="1"/>
  <c r="E79" i="33" s="1"/>
  <c r="T57" i="63"/>
  <c r="L57"/>
  <c r="K57"/>
  <c r="N57" s="1"/>
  <c r="J78" i="33" s="1"/>
  <c r="J57" i="63"/>
  <c r="M57" s="1"/>
  <c r="F78" i="33" s="1"/>
  <c r="I57" i="63"/>
  <c r="T56"/>
  <c r="L56"/>
  <c r="K56"/>
  <c r="N56" s="1"/>
  <c r="J77" i="33" s="1"/>
  <c r="J56" i="63"/>
  <c r="M56" s="1"/>
  <c r="F77" i="33" s="1"/>
  <c r="I56" i="63"/>
  <c r="T55"/>
  <c r="N55"/>
  <c r="K55"/>
  <c r="J55"/>
  <c r="M55" s="1"/>
  <c r="F76" i="33" s="1"/>
  <c r="I55" i="63"/>
  <c r="L55" s="1"/>
  <c r="E76" i="33" s="1"/>
  <c r="M54" i="63"/>
  <c r="K54"/>
  <c r="N54" s="1"/>
  <c r="J54"/>
  <c r="I54"/>
  <c r="L54" s="1"/>
  <c r="E75" i="33" s="1"/>
  <c r="K53" i="63"/>
  <c r="N53" s="1"/>
  <c r="J74" i="33" s="1"/>
  <c r="J53" i="63"/>
  <c r="M53" s="1"/>
  <c r="I53"/>
  <c r="L53" s="1"/>
  <c r="E74" i="33" s="1"/>
  <c r="L52" i="63"/>
  <c r="K52"/>
  <c r="N52" s="1"/>
  <c r="J73" i="33" s="1"/>
  <c r="J52" i="63"/>
  <c r="M52" s="1"/>
  <c r="F73" i="33" s="1"/>
  <c r="I52" i="63"/>
  <c r="K51"/>
  <c r="N51" s="1"/>
  <c r="J72" i="33" s="1"/>
  <c r="J51" i="63"/>
  <c r="M51" s="1"/>
  <c r="F72" i="33" s="1"/>
  <c r="I51" i="63"/>
  <c r="L51" s="1"/>
  <c r="E72" i="33" s="1"/>
  <c r="M50" i="63"/>
  <c r="L50"/>
  <c r="K50"/>
  <c r="N50" s="1"/>
  <c r="J69" i="33" s="1"/>
  <c r="J50" i="63"/>
  <c r="I50"/>
  <c r="K49"/>
  <c r="N49" s="1"/>
  <c r="J68" i="33" s="1"/>
  <c r="L68" s="1"/>
  <c r="J49" i="63"/>
  <c r="M49" s="1"/>
  <c r="F68" i="33" s="1"/>
  <c r="I49" i="63"/>
  <c r="L49" s="1"/>
  <c r="M48"/>
  <c r="L48"/>
  <c r="K48"/>
  <c r="N48" s="1"/>
  <c r="J67" i="33" s="1"/>
  <c r="J48" i="63"/>
  <c r="I48"/>
  <c r="N47"/>
  <c r="K47"/>
  <c r="J47"/>
  <c r="M47" s="1"/>
  <c r="I47"/>
  <c r="L47" s="1"/>
  <c r="E66" i="33" s="1"/>
  <c r="K66" s="1"/>
  <c r="T46" i="63"/>
  <c r="K46"/>
  <c r="N46" s="1"/>
  <c r="J65" i="33" s="1"/>
  <c r="J46" i="63"/>
  <c r="M46" s="1"/>
  <c r="F65" i="33" s="1"/>
  <c r="I46" i="63"/>
  <c r="L46" s="1"/>
  <c r="E65" i="33" s="1"/>
  <c r="K65" s="1"/>
  <c r="K45" i="63"/>
  <c r="N45" s="1"/>
  <c r="J64" i="33" s="1"/>
  <c r="J45" i="63"/>
  <c r="M45" s="1"/>
  <c r="I45"/>
  <c r="L45" s="1"/>
  <c r="E64" i="33" s="1"/>
  <c r="K64" s="1"/>
  <c r="M44" i="63"/>
  <c r="K44"/>
  <c r="N44" s="1"/>
  <c r="J63" i="33" s="1"/>
  <c r="J44" i="63"/>
  <c r="I44"/>
  <c r="L44" s="1"/>
  <c r="E63" i="33" s="1"/>
  <c r="K63" s="1"/>
  <c r="L43" i="63"/>
  <c r="K43"/>
  <c r="N43" s="1"/>
  <c r="J62" i="33" s="1"/>
  <c r="J43" i="63"/>
  <c r="M43" s="1"/>
  <c r="I43"/>
  <c r="N42"/>
  <c r="M42"/>
  <c r="K42"/>
  <c r="J42"/>
  <c r="I42"/>
  <c r="L42" s="1"/>
  <c r="E61" i="33" s="1"/>
  <c r="K61" s="1"/>
  <c r="K41" i="63"/>
  <c r="N41" s="1"/>
  <c r="J60" i="33" s="1"/>
  <c r="J41" i="63"/>
  <c r="M41" s="1"/>
  <c r="I41"/>
  <c r="L41" s="1"/>
  <c r="E60" i="33" s="1"/>
  <c r="K60" s="1"/>
  <c r="N40" i="63"/>
  <c r="K40"/>
  <c r="J40"/>
  <c r="M40" s="1"/>
  <c r="F59" i="33" s="1"/>
  <c r="I40" i="63"/>
  <c r="L40" s="1"/>
  <c r="E59" i="33" s="1"/>
  <c r="K59" s="1"/>
  <c r="K39" i="63"/>
  <c r="N39" s="1"/>
  <c r="J58" i="33" s="1"/>
  <c r="J39" i="63"/>
  <c r="M39" s="1"/>
  <c r="I39"/>
  <c r="L39" s="1"/>
  <c r="E58" i="33" s="1"/>
  <c r="K58" s="1"/>
  <c r="K38" i="63"/>
  <c r="N38" s="1"/>
  <c r="J57" i="33" s="1"/>
  <c r="J38" i="63"/>
  <c r="M38" s="1"/>
  <c r="F57" i="33" s="1"/>
  <c r="I38" i="63"/>
  <c r="L38" s="1"/>
  <c r="E57" i="33" s="1"/>
  <c r="K57" s="1"/>
  <c r="L37" i="63"/>
  <c r="K37"/>
  <c r="N37" s="1"/>
  <c r="J56" i="33" s="1"/>
  <c r="J37" i="63"/>
  <c r="M37" s="1"/>
  <c r="I37"/>
  <c r="M36"/>
  <c r="K36"/>
  <c r="N36" s="1"/>
  <c r="J55" i="33" s="1"/>
  <c r="J36" i="63"/>
  <c r="I36"/>
  <c r="L36" s="1"/>
  <c r="E55" i="33" s="1"/>
  <c r="K55" s="1"/>
  <c r="T35" i="63"/>
  <c r="K35"/>
  <c r="N35" s="1"/>
  <c r="J54" i="33" s="1"/>
  <c r="J35" i="63"/>
  <c r="M35" s="1"/>
  <c r="F54" i="33" s="1"/>
  <c r="I35" i="63"/>
  <c r="L35" s="1"/>
  <c r="E54" i="33" s="1"/>
  <c r="K54" s="1"/>
  <c r="K34" i="63"/>
  <c r="N34" s="1"/>
  <c r="J53" i="33" s="1"/>
  <c r="J34" i="63"/>
  <c r="M34" s="1"/>
  <c r="I34"/>
  <c r="L34" s="1"/>
  <c r="E53" i="33" s="1"/>
  <c r="K53" s="1"/>
  <c r="T33" i="63"/>
  <c r="M33"/>
  <c r="K33"/>
  <c r="N33" s="1"/>
  <c r="J52" i="33" s="1"/>
  <c r="J33" i="63"/>
  <c r="I33"/>
  <c r="L33" s="1"/>
  <c r="E52" i="33" s="1"/>
  <c r="K52" s="1"/>
  <c r="T32" i="63"/>
  <c r="K32"/>
  <c r="N32" s="1"/>
  <c r="J51" i="33" s="1"/>
  <c r="J32" i="63"/>
  <c r="M32" s="1"/>
  <c r="F51" i="33" s="1"/>
  <c r="I32" i="63"/>
  <c r="L32" s="1"/>
  <c r="E51" i="33" s="1"/>
  <c r="K51" s="1"/>
  <c r="K31" i="63"/>
  <c r="N31" s="1"/>
  <c r="J50" i="33" s="1"/>
  <c r="J31" i="63"/>
  <c r="M31" s="1"/>
  <c r="I31"/>
  <c r="L31" s="1"/>
  <c r="E50" i="33" s="1"/>
  <c r="K50" s="1"/>
  <c r="L30" i="63"/>
  <c r="K30"/>
  <c r="N30" s="1"/>
  <c r="J49" i="33" s="1"/>
  <c r="J30" i="63"/>
  <c r="M30" s="1"/>
  <c r="F49" i="33" s="1"/>
  <c r="I30" i="63"/>
  <c r="T29"/>
  <c r="L29"/>
  <c r="K29"/>
  <c r="N29" s="1"/>
  <c r="J48" i="33" s="1"/>
  <c r="J29" i="63"/>
  <c r="M29" s="1"/>
  <c r="I29"/>
  <c r="N28"/>
  <c r="M28"/>
  <c r="K28"/>
  <c r="J28"/>
  <c r="I28"/>
  <c r="L28" s="1"/>
  <c r="E47" i="33" s="1"/>
  <c r="K47" s="1"/>
  <c r="K27" i="63"/>
  <c r="N27" s="1"/>
  <c r="J46" i="33" s="1"/>
  <c r="J27" i="63"/>
  <c r="M27" s="1"/>
  <c r="I27"/>
  <c r="L27" s="1"/>
  <c r="E46" i="33" s="1"/>
  <c r="K46" s="1"/>
  <c r="T26" i="63"/>
  <c r="K26"/>
  <c r="N26" s="1"/>
  <c r="J45" i="33" s="1"/>
  <c r="J26" i="63"/>
  <c r="M26" s="1"/>
  <c r="I26"/>
  <c r="L26" s="1"/>
  <c r="E45" i="33" s="1"/>
  <c r="K45" s="1"/>
  <c r="L25" i="63"/>
  <c r="K25"/>
  <c r="N25" s="1"/>
  <c r="J44" i="33" s="1"/>
  <c r="J25" i="63"/>
  <c r="M25" s="1"/>
  <c r="F44" i="33" s="1"/>
  <c r="I25" i="63"/>
  <c r="K24"/>
  <c r="N24" s="1"/>
  <c r="J43" i="33" s="1"/>
  <c r="J24" i="63"/>
  <c r="M24" s="1"/>
  <c r="F43" i="33" s="1"/>
  <c r="I24" i="63"/>
  <c r="L24" s="1"/>
  <c r="E43" i="33" s="1"/>
  <c r="K43" s="1"/>
  <c r="M23" i="63"/>
  <c r="L23"/>
  <c r="K23"/>
  <c r="N23" s="1"/>
  <c r="J42" i="33" s="1"/>
  <c r="J23" i="63"/>
  <c r="I23"/>
  <c r="K22"/>
  <c r="N22" s="1"/>
  <c r="J41" i="33" s="1"/>
  <c r="J22" i="63"/>
  <c r="M22" s="1"/>
  <c r="I22"/>
  <c r="L22" s="1"/>
  <c r="E41" i="33" s="1"/>
  <c r="K41" s="1"/>
  <c r="M21" i="63"/>
  <c r="L21"/>
  <c r="K21"/>
  <c r="N21" s="1"/>
  <c r="J33" i="33" s="1"/>
  <c r="J21" i="63"/>
  <c r="I21"/>
  <c r="N20"/>
  <c r="K20"/>
  <c r="J20"/>
  <c r="M20" s="1"/>
  <c r="F32" i="33" s="1"/>
  <c r="I20" i="63"/>
  <c r="L20" s="1"/>
  <c r="E32" i="33" s="1"/>
  <c r="M19" i="63"/>
  <c r="K19"/>
  <c r="N19" s="1"/>
  <c r="J19"/>
  <c r="I19"/>
  <c r="L19" s="1"/>
  <c r="E31" i="33" s="1"/>
  <c r="K18" i="63"/>
  <c r="N18" s="1"/>
  <c r="J30" i="33" s="1"/>
  <c r="J18" i="63"/>
  <c r="M18" s="1"/>
  <c r="F30" i="33" s="1"/>
  <c r="I18" i="63"/>
  <c r="L18" s="1"/>
  <c r="E30" i="33" s="1"/>
  <c r="N14" i="63"/>
  <c r="M13"/>
  <c r="M12"/>
  <c r="E16" i="45" s="1"/>
  <c r="M11" i="63"/>
  <c r="N3"/>
  <c r="C34" i="62"/>
  <c r="C8"/>
  <c r="C7"/>
  <c r="D6"/>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K8"/>
  <c r="L10" s="1"/>
  <c r="R10" s="1"/>
  <c r="R2"/>
  <c r="P2" a="1"/>
  <c r="P2" s="1"/>
  <c r="P10" i="54" a="1"/>
  <c r="P10" s="1"/>
  <c r="F10"/>
  <c r="K8"/>
  <c r="J8"/>
  <c r="G8"/>
  <c r="F8"/>
  <c r="L10" s="1"/>
  <c r="R10" s="1"/>
  <c r="R2"/>
  <c r="P2" a="1"/>
  <c r="P2" s="1"/>
  <c r="N9" i="53" a="1"/>
  <c r="N9" s="1"/>
  <c r="J9"/>
  <c r="P9" s="1"/>
  <c r="E5"/>
  <c r="P2"/>
  <c r="N2" a="1"/>
  <c r="N2"/>
  <c r="G24" i="52"/>
  <c r="E24"/>
  <c r="G12"/>
  <c r="F12"/>
  <c r="F2" i="55" s="1"/>
  <c r="E12" i="52"/>
  <c r="D6"/>
  <c r="D5"/>
  <c r="BA115" i="51"/>
  <c r="BA114"/>
  <c r="BA113"/>
  <c r="BA102"/>
  <c r="BA100"/>
  <c r="BA99"/>
  <c r="I53"/>
  <c r="I52"/>
  <c r="H52"/>
  <c r="G52"/>
  <c r="I51"/>
  <c r="H51"/>
  <c r="G51"/>
  <c r="I50"/>
  <c r="I49"/>
  <c r="I48"/>
  <c r="I47"/>
  <c r="I46"/>
  <c r="K45"/>
  <c r="I45"/>
  <c r="G44"/>
  <c r="G53" s="1"/>
  <c r="G36"/>
  <c r="E4" i="62" s="1"/>
  <c r="C4" s="1"/>
  <c r="F36" i="51"/>
  <c r="U15" i="63" s="1"/>
  <c r="M15" s="1"/>
  <c r="F32" i="51"/>
  <c r="E32"/>
  <c r="F29"/>
  <c r="E29"/>
  <c r="L5"/>
  <c r="L4"/>
  <c r="L3"/>
  <c r="I14" i="50"/>
  <c r="G14"/>
  <c r="G11"/>
  <c r="G10"/>
  <c r="G9"/>
  <c r="D6"/>
  <c r="E13" i="49"/>
  <c r="H12"/>
  <c r="E12"/>
  <c r="D6"/>
  <c r="F269" i="48"/>
  <c r="F208"/>
  <c r="F147"/>
  <c r="F84"/>
  <c r="F23"/>
  <c r="G17"/>
  <c r="F17"/>
  <c r="G16"/>
  <c r="F16"/>
  <c r="N7"/>
  <c r="N4"/>
  <c r="N1"/>
  <c r="E32" i="47"/>
  <c r="E24"/>
  <c r="D15"/>
  <c r="E16" i="46"/>
  <c r="G14"/>
  <c r="E13"/>
  <c r="D6"/>
  <c r="F21" i="45"/>
  <c r="H19"/>
  <c r="G19"/>
  <c r="F19"/>
  <c r="E19"/>
  <c r="I18"/>
  <c r="E17"/>
  <c r="E15"/>
  <c r="H14"/>
  <c r="G14"/>
  <c r="G11"/>
  <c r="G10"/>
  <c r="G9"/>
  <c r="D6"/>
  <c r="F2"/>
  <c r="F6" i="44"/>
  <c r="H57" i="43"/>
  <c r="H56"/>
  <c r="H55"/>
  <c r="I54"/>
  <c r="H54"/>
  <c r="H53"/>
  <c r="H52"/>
  <c r="H51"/>
  <c r="H50"/>
  <c r="I49"/>
  <c r="I48" s="1"/>
  <c r="H49"/>
  <c r="H48"/>
  <c r="H47"/>
  <c r="H46"/>
  <c r="H45"/>
  <c r="I44"/>
  <c r="H44" s="1"/>
  <c r="H43"/>
  <c r="H42"/>
  <c r="H41"/>
  <c r="H40"/>
  <c r="I39"/>
  <c r="H39"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29" i="33"/>
  <c r="F128"/>
  <c r="E121"/>
  <c r="E115"/>
  <c r="E114"/>
  <c r="F113"/>
  <c r="E113"/>
  <c r="F111"/>
  <c r="J110"/>
  <c r="E110"/>
  <c r="E107"/>
  <c r="E106"/>
  <c r="F105"/>
  <c r="E105"/>
  <c r="F103"/>
  <c r="E103"/>
  <c r="J102"/>
  <c r="E102"/>
  <c r="F99"/>
  <c r="J97"/>
  <c r="E97"/>
  <c r="F96"/>
  <c r="F95"/>
  <c r="E95"/>
  <c r="J93"/>
  <c r="F93"/>
  <c r="E93"/>
  <c r="J92"/>
  <c r="F92"/>
  <c r="F91"/>
  <c r="J89"/>
  <c r="E89"/>
  <c r="F88"/>
  <c r="I87"/>
  <c r="H87"/>
  <c r="F87"/>
  <c r="E87"/>
  <c r="F86"/>
  <c r="E85"/>
  <c r="J84"/>
  <c r="J83"/>
  <c r="F83"/>
  <c r="F82"/>
  <c r="E81"/>
  <c r="J79"/>
  <c r="F79"/>
  <c r="E78"/>
  <c r="E77"/>
  <c r="J76"/>
  <c r="J75"/>
  <c r="F75"/>
  <c r="F74"/>
  <c r="E73"/>
  <c r="I69"/>
  <c r="H69"/>
  <c r="F69"/>
  <c r="E69"/>
  <c r="K69" s="1"/>
  <c r="E68"/>
  <c r="K68" s="1"/>
  <c r="F67"/>
  <c r="E67"/>
  <c r="K67" s="1"/>
  <c r="L66"/>
  <c r="J66"/>
  <c r="F66"/>
  <c r="F64"/>
  <c r="F63"/>
  <c r="F62"/>
  <c r="E62"/>
  <c r="K62" s="1"/>
  <c r="J61"/>
  <c r="F61"/>
  <c r="F60"/>
  <c r="J59"/>
  <c r="F58"/>
  <c r="F56"/>
  <c r="E56"/>
  <c r="K56" s="1"/>
  <c r="F55"/>
  <c r="F53"/>
  <c r="F52"/>
  <c r="F50"/>
  <c r="E49"/>
  <c r="K49" s="1"/>
  <c r="F48"/>
  <c r="E48"/>
  <c r="K48" s="1"/>
  <c r="J47"/>
  <c r="F47"/>
  <c r="F46"/>
  <c r="F45"/>
  <c r="E44"/>
  <c r="K44" s="1"/>
  <c r="F42"/>
  <c r="E42"/>
  <c r="K42" s="1"/>
  <c r="F41"/>
  <c r="K40"/>
  <c r="K39"/>
  <c r="K38"/>
  <c r="K37"/>
  <c r="K36"/>
  <c r="K35"/>
  <c r="K34"/>
  <c r="I33"/>
  <c r="H33"/>
  <c r="F33"/>
  <c r="E33"/>
  <c r="K33" s="1"/>
  <c r="K32"/>
  <c r="J32"/>
  <c r="J31"/>
  <c r="F31"/>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Y45"/>
  <c r="Z45" s="1"/>
  <c r="AA45" s="1"/>
  <c r="AC45" s="1"/>
  <c r="AD45" s="1"/>
  <c r="U45"/>
  <c r="V45" s="1"/>
  <c r="W45" s="1"/>
  <c r="X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C41"/>
  <c r="AD41" s="1"/>
  <c r="AF41" s="1"/>
  <c r="AG41" s="1"/>
  <c r="AB41"/>
  <c r="U41"/>
  <c r="V41" s="1"/>
  <c r="AG33"/>
  <c r="V33"/>
  <c r="AG32"/>
  <c r="V32"/>
  <c r="AG30"/>
  <c r="V30"/>
  <c r="AG29"/>
  <c r="V29"/>
  <c r="AG28"/>
  <c r="V28"/>
  <c r="AG27"/>
  <c r="V27"/>
  <c r="S25"/>
  <c r="S24"/>
  <c r="AM16"/>
  <c r="AV13"/>
  <c r="AV12"/>
  <c r="AV11"/>
  <c r="AV10"/>
  <c r="AV9"/>
  <c r="AV8"/>
  <c r="AM8"/>
  <c r="AB8"/>
  <c r="AV7"/>
  <c r="AS7"/>
  <c r="AV6"/>
  <c r="AV5"/>
  <c r="S5"/>
  <c r="AV4"/>
  <c r="AG4"/>
  <c r="S4"/>
  <c r="I5" s="1"/>
  <c r="J6" s="1"/>
  <c r="AV3"/>
  <c r="AG3"/>
  <c r="S3"/>
  <c r="AV2"/>
  <c r="AS2"/>
  <c r="AG2"/>
  <c r="S2"/>
  <c r="AV54" i="30"/>
  <c r="AV53"/>
  <c r="AV52"/>
  <c r="AV51"/>
  <c r="AV50"/>
  <c r="AV49"/>
  <c r="AV48"/>
  <c r="AV47"/>
  <c r="AS47"/>
  <c r="AV46"/>
  <c r="AV45"/>
  <c r="AV44"/>
  <c r="AV43"/>
  <c r="AV42"/>
  <c r="AS42"/>
  <c r="AN41"/>
  <c r="AO41" s="1"/>
  <c r="AQ41" s="1"/>
  <c r="AR41" s="1"/>
  <c r="AS41" s="1"/>
  <c r="AM41"/>
  <c r="AC41"/>
  <c r="AD41" s="1"/>
  <c r="AF41" s="1"/>
  <c r="AG41" s="1"/>
  <c r="V41"/>
  <c r="U41"/>
  <c r="AG33"/>
  <c r="V33"/>
  <c r="AG32"/>
  <c r="V32"/>
  <c r="AG30"/>
  <c r="V30"/>
  <c r="AG29"/>
  <c r="V29"/>
  <c r="AG28"/>
  <c r="V28"/>
  <c r="AG27"/>
  <c r="V27"/>
  <c r="S25"/>
  <c r="S24"/>
  <c r="AV13"/>
  <c r="AV12"/>
  <c r="AV11"/>
  <c r="AV10"/>
  <c r="AV9"/>
  <c r="AV8"/>
  <c r="AV7"/>
  <c r="AS7"/>
  <c r="AV6"/>
  <c r="AV5"/>
  <c r="AV4"/>
  <c r="AG4"/>
  <c r="S4"/>
  <c r="I5" s="1"/>
  <c r="J6" s="1"/>
  <c r="S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Y45"/>
  <c r="BA45" s="1"/>
  <c r="BB45" s="1"/>
  <c r="BC45" s="1"/>
  <c r="AX45"/>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I6"/>
  <c r="AN5"/>
  <c r="AC5"/>
  <c r="S5"/>
  <c r="J7"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3"/>
  <c r="AN52"/>
  <c r="AN51"/>
  <c r="AN50"/>
  <c r="AN49"/>
  <c r="AN48"/>
  <c r="AN47"/>
  <c r="AE47"/>
  <c r="X47"/>
  <c r="AN46"/>
  <c r="AK46"/>
  <c r="AN45"/>
  <c r="AN44"/>
  <c r="AN43"/>
  <c r="AN42"/>
  <c r="AN41"/>
  <c r="AK41"/>
  <c r="W40"/>
  <c r="X40" s="1"/>
  <c r="Y40" s="1"/>
  <c r="Z40" s="1"/>
  <c r="AB40" s="1"/>
  <c r="AC40" s="1"/>
  <c r="AD40" s="1"/>
  <c r="AE40" s="1"/>
  <c r="AF40" s="1"/>
  <c r="AG40" s="1"/>
  <c r="AI40" s="1"/>
  <c r="AJ40" s="1"/>
  <c r="AK40" s="1"/>
  <c r="V40"/>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U73" i="22"/>
  <c r="AU72"/>
  <c r="AU71"/>
  <c r="AU70"/>
  <c r="AU69"/>
  <c r="AU68"/>
  <c r="AU67"/>
  <c r="AL67"/>
  <c r="AE67"/>
  <c r="X67"/>
  <c r="AU66"/>
  <c r="AR66"/>
  <c r="AU65"/>
  <c r="AU64"/>
  <c r="AU63"/>
  <c r="AU62"/>
  <c r="AU61"/>
  <c r="AU60"/>
  <c r="AU59"/>
  <c r="AU58"/>
  <c r="AU57"/>
  <c r="AL57"/>
  <c r="AE57"/>
  <c r="X57"/>
  <c r="AU56"/>
  <c r="AR56"/>
  <c r="AU55"/>
  <c r="AU54"/>
  <c r="AU53"/>
  <c r="AU52"/>
  <c r="AU51"/>
  <c r="AU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AU4"/>
  <c r="AC4"/>
  <c r="S4"/>
  <c r="I5" s="1"/>
  <c r="AU3"/>
  <c r="AC3"/>
  <c r="S3"/>
  <c r="AU2"/>
  <c r="AR2"/>
  <c r="AC2"/>
  <c r="S2"/>
  <c r="AU63" i="21"/>
  <c r="AU62"/>
  <c r="AU61"/>
  <c r="AU60"/>
  <c r="AU59"/>
  <c r="AU58"/>
  <c r="AU57"/>
  <c r="AL57"/>
  <c r="AE57"/>
  <c r="X57"/>
  <c r="AU56"/>
  <c r="AR56"/>
  <c r="AU55"/>
  <c r="AU54"/>
  <c r="AU53"/>
  <c r="AU52"/>
  <c r="AU51"/>
  <c r="AU50"/>
  <c r="AU49"/>
  <c r="AU48"/>
  <c r="AU47"/>
  <c r="AL47"/>
  <c r="AE47"/>
  <c r="X47"/>
  <c r="AU46"/>
  <c r="AR46"/>
  <c r="AU45"/>
  <c r="AU44"/>
  <c r="AU43"/>
  <c r="AU42"/>
  <c r="AU41"/>
  <c r="AR41"/>
  <c r="V40"/>
  <c r="W40" s="1"/>
  <c r="X40" s="1"/>
  <c r="Y40" s="1"/>
  <c r="Z40" s="1"/>
  <c r="AB40" s="1"/>
  <c r="AC40" s="1"/>
  <c r="AD40" s="1"/>
  <c r="AE40" s="1"/>
  <c r="AF40" s="1"/>
  <c r="AG40" s="1"/>
  <c r="AI40" s="1"/>
  <c r="AJ40" s="1"/>
  <c r="AK40" s="1"/>
  <c r="AL40" s="1"/>
  <c r="AM40" s="1"/>
  <c r="AN40" s="1"/>
  <c r="AP40" s="1"/>
  <c r="AQ40" s="1"/>
  <c r="AR40" s="1"/>
  <c r="U40"/>
  <c r="AJ33"/>
  <c r="AC33"/>
  <c r="V33"/>
  <c r="AJ32"/>
  <c r="AC32"/>
  <c r="V32"/>
  <c r="AJ30"/>
  <c r="AC30"/>
  <c r="V30"/>
  <c r="AJ29"/>
  <c r="AC29"/>
  <c r="V29"/>
  <c r="AJ28"/>
  <c r="AC28"/>
  <c r="V28"/>
  <c r="AJ27"/>
  <c r="AC27"/>
  <c r="V27"/>
  <c r="S25"/>
  <c r="S24"/>
  <c r="AE16"/>
  <c r="AU13"/>
  <c r="AU12"/>
  <c r="AU11"/>
  <c r="AU10"/>
  <c r="AU9"/>
  <c r="AU8"/>
  <c r="AL8"/>
  <c r="AE8"/>
  <c r="X8"/>
  <c r="AU7"/>
  <c r="AR7"/>
  <c r="AU6"/>
  <c r="AU5"/>
  <c r="AU4"/>
  <c r="AC4"/>
  <c r="S4"/>
  <c r="I5" s="1"/>
  <c r="AU3"/>
  <c r="AC3"/>
  <c r="S3"/>
  <c r="AU2"/>
  <c r="AR2"/>
  <c r="AC2"/>
  <c r="S2"/>
  <c r="AX62" i="20"/>
  <c r="AX61"/>
  <c r="AX60"/>
  <c r="AX59"/>
  <c r="AX58"/>
  <c r="AX57"/>
  <c r="AX56"/>
  <c r="AX55"/>
  <c r="AX54"/>
  <c r="AO54"/>
  <c r="W54"/>
  <c r="AX51"/>
  <c r="AX50"/>
  <c r="AX49"/>
  <c r="AX48"/>
  <c r="AX47"/>
  <c r="AX46"/>
  <c r="AX45"/>
  <c r="AU45"/>
  <c r="AN44"/>
  <c r="AO44" s="1"/>
  <c r="AP44" s="1"/>
  <c r="AQ44" s="1"/>
  <c r="AS44" s="1"/>
  <c r="AT44" s="1"/>
  <c r="AU44" s="1"/>
  <c r="V44"/>
  <c r="W44" s="1"/>
  <c r="X44" s="1"/>
  <c r="Y44" s="1"/>
  <c r="AA44" s="1"/>
  <c r="AB44" s="1"/>
  <c r="U44"/>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Z42"/>
  <c r="AA42" s="1"/>
  <c r="AC42" s="1"/>
  <c r="AD42" s="1"/>
  <c r="Y42"/>
  <c r="X42"/>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4" s="1"/>
  <c r="G29"/>
  <c r="G28"/>
  <c r="G27"/>
  <c r="D22"/>
  <c r="D21"/>
  <c r="D20"/>
  <c r="D19"/>
  <c r="D23" s="1"/>
  <c r="E18"/>
  <c r="G17"/>
  <c r="E17"/>
  <c r="G16"/>
  <c r="E16"/>
  <c r="F15"/>
  <c r="F14"/>
  <c r="G13"/>
  <c r="E13"/>
  <c r="E12"/>
  <c r="F11"/>
  <c r="D5"/>
  <c r="D4"/>
  <c r="D5" i="6"/>
  <c r="AQ140" i="5"/>
  <c r="AP140"/>
  <c r="S48" i="29" s="1"/>
  <c r="K52" s="1"/>
  <c r="S52" s="1"/>
  <c r="AO140" i="5"/>
  <c r="S47" i="29" s="1"/>
  <c r="AN140" i="5"/>
  <c r="S46" i="29" s="1"/>
  <c r="AM140" i="5"/>
  <c r="AL140"/>
  <c r="AD48" i="29" s="1"/>
  <c r="AK140" i="5"/>
  <c r="AD47" i="29" s="1"/>
  <c r="AJ140" i="5"/>
  <c r="AI140"/>
  <c r="AH140"/>
  <c r="AQ135"/>
  <c r="AP135"/>
  <c r="S43" i="28" s="1"/>
  <c r="I44" s="1"/>
  <c r="AO135" i="5"/>
  <c r="S42" i="28" s="1"/>
  <c r="AN135" i="5"/>
  <c r="S41" i="28" s="1"/>
  <c r="AM135" i="5"/>
  <c r="AL135"/>
  <c r="AC43" i="28" s="1"/>
  <c r="AK135" i="5"/>
  <c r="AC42" i="28" s="1"/>
  <c r="AJ135" i="5"/>
  <c r="AI135"/>
  <c r="AH135"/>
  <c r="AQ130"/>
  <c r="AP130"/>
  <c r="S43" i="27" s="1"/>
  <c r="I44" s="1"/>
  <c r="AO130" i="5"/>
  <c r="S42" i="27" s="1"/>
  <c r="AN130" i="5"/>
  <c r="S41" i="27" s="1"/>
  <c r="AM130" i="5"/>
  <c r="AL130"/>
  <c r="AC43" i="27" s="1"/>
  <c r="AK130" i="5"/>
  <c r="AC42" i="27" s="1"/>
  <c r="AJ130" i="5"/>
  <c r="AI130"/>
  <c r="AH130"/>
  <c r="AQ124"/>
  <c r="AP124"/>
  <c r="S48" i="32" s="1"/>
  <c r="K52" s="1"/>
  <c r="S52" s="1"/>
  <c r="AO124" i="5"/>
  <c r="S47" i="32" s="1"/>
  <c r="AN124" i="5"/>
  <c r="S46" i="32" s="1"/>
  <c r="AM124" i="5"/>
  <c r="AL124"/>
  <c r="AD48" i="32" s="1"/>
  <c r="AK124" i="5"/>
  <c r="AD47" i="32" s="1"/>
  <c r="AJ124" i="5"/>
  <c r="AD46" i="32" s="1"/>
  <c r="AI124" i="5"/>
  <c r="AH124"/>
  <c r="AQ119"/>
  <c r="AP119"/>
  <c r="S44" i="31" s="1"/>
  <c r="I45" s="1"/>
  <c r="AO119" i="5"/>
  <c r="S43" i="31" s="1"/>
  <c r="AN119" i="5"/>
  <c r="S42" i="31" s="1"/>
  <c r="AM119" i="5"/>
  <c r="AL119"/>
  <c r="AG44" i="31" s="1"/>
  <c r="AK119" i="5"/>
  <c r="AG43" i="31" s="1"/>
  <c r="AJ119" i="5"/>
  <c r="AI119"/>
  <c r="AH119"/>
  <c r="F132" i="48" s="1"/>
  <c r="AQ114" i="5"/>
  <c r="AP114"/>
  <c r="S44" i="30" s="1"/>
  <c r="I45" s="1"/>
  <c r="AO114" i="5"/>
  <c r="S43" i="30" s="1"/>
  <c r="AN114" i="5"/>
  <c r="S42" i="30" s="1"/>
  <c r="AM114" i="5"/>
  <c r="AL114"/>
  <c r="AG44" i="30" s="1"/>
  <c r="AK114" i="5"/>
  <c r="AG43" i="30" s="1"/>
  <c r="AJ114" i="5"/>
  <c r="AI114"/>
  <c r="AH114"/>
  <c r="AQ108"/>
  <c r="AP108"/>
  <c r="S48" i="26" s="1"/>
  <c r="K52" s="1"/>
  <c r="S52" s="1"/>
  <c r="AO108" i="5"/>
  <c r="S47" i="26" s="1"/>
  <c r="AN108" i="5"/>
  <c r="S46" i="26" s="1"/>
  <c r="AM108" i="5"/>
  <c r="AL108"/>
  <c r="AD48" i="26" s="1"/>
  <c r="AK108" i="5"/>
  <c r="AD47" i="26" s="1"/>
  <c r="AJ108" i="5"/>
  <c r="AI108"/>
  <c r="AH108"/>
  <c r="F126" i="48" s="1"/>
  <c r="AQ103" i="5"/>
  <c r="AP103"/>
  <c r="S43" i="24" s="1"/>
  <c r="I44" s="1"/>
  <c r="AO103" i="5"/>
  <c r="S42" i="24" s="1"/>
  <c r="AN103" i="5"/>
  <c r="S41" i="24" s="1"/>
  <c r="AM103" i="5"/>
  <c r="AL103"/>
  <c r="AC43" i="24" s="1"/>
  <c r="AK103" i="5"/>
  <c r="AC42" i="24" s="1"/>
  <c r="AJ103" i="5"/>
  <c r="AI103"/>
  <c r="AH103"/>
  <c r="AQ98"/>
  <c r="AP98"/>
  <c r="S43" i="23" s="1"/>
  <c r="I44" s="1"/>
  <c r="AO98" i="5"/>
  <c r="S42" i="23" s="1"/>
  <c r="AN98" i="5"/>
  <c r="S41" i="23" s="1"/>
  <c r="AM98" i="5"/>
  <c r="AL98"/>
  <c r="AC43" i="23" s="1"/>
  <c r="AK98" i="5"/>
  <c r="AC42" i="23" s="1"/>
  <c r="AJ98" i="5"/>
  <c r="AI98"/>
  <c r="AH98"/>
  <c r="AP93"/>
  <c r="S63" i="22" s="1"/>
  <c r="I64" s="1"/>
  <c r="AO93" i="5"/>
  <c r="S62" i="22" s="1"/>
  <c r="AN93" i="5"/>
  <c r="AL93"/>
  <c r="AC63" i="22" s="1"/>
  <c r="AJ93" i="5"/>
  <c r="AH93"/>
  <c r="AP90"/>
  <c r="S53" i="22" s="1"/>
  <c r="I54" s="1"/>
  <c r="AO90" i="5"/>
  <c r="S52" i="22" s="1"/>
  <c r="AN90" i="5"/>
  <c r="AL90"/>
  <c r="AC53" i="22" s="1"/>
  <c r="AJ90" i="5"/>
  <c r="AH90"/>
  <c r="AQ87"/>
  <c r="AP87"/>
  <c r="S43" i="22" s="1"/>
  <c r="I44" s="1"/>
  <c r="AO87" i="5"/>
  <c r="S42" i="22" s="1"/>
  <c r="AN87" i="5"/>
  <c r="S41" i="22" s="1"/>
  <c r="AM87" i="5"/>
  <c r="AL87"/>
  <c r="AC43" i="22" s="1"/>
  <c r="AJ87" i="5"/>
  <c r="AH87"/>
  <c r="F54" i="48" s="1"/>
  <c r="G87" i="5"/>
  <c r="AI90" s="1"/>
  <c r="AP82"/>
  <c r="S53" i="21" s="1"/>
  <c r="I54" s="1"/>
  <c r="AO82" i="5"/>
  <c r="S52" i="21" s="1"/>
  <c r="AN82" i="5"/>
  <c r="AL82"/>
  <c r="AC53" i="21" s="1"/>
  <c r="AJ82" i="5"/>
  <c r="AH82"/>
  <c r="AQ79"/>
  <c r="AP79"/>
  <c r="S43" i="21" s="1"/>
  <c r="I44" s="1"/>
  <c r="AO79" i="5"/>
  <c r="S42" i="21" s="1"/>
  <c r="AN79" i="5"/>
  <c r="S41" i="21" s="1"/>
  <c r="AM79" i="5"/>
  <c r="AL79"/>
  <c r="AC43" i="21" s="1"/>
  <c r="AJ79" i="5"/>
  <c r="AC41" i="21" s="1"/>
  <c r="AH79" i="5"/>
  <c r="G79"/>
  <c r="AI82" s="1"/>
  <c r="AQ63"/>
  <c r="S46" i="14" s="1"/>
  <c r="I47" s="1"/>
  <c r="AP63" i="5"/>
  <c r="S45" i="14" s="1"/>
  <c r="AO63" i="5"/>
  <c r="S44" i="13" s="1"/>
  <c r="AN63" i="5"/>
  <c r="S43" i="13" s="1"/>
  <c r="AM63" i="5"/>
  <c r="AD46" i="14" s="1"/>
  <c r="AL63" i="5"/>
  <c r="AD45" i="13" s="1"/>
  <c r="AK63" i="5"/>
  <c r="AD44" i="13" s="1"/>
  <c r="AJ63" i="5"/>
  <c r="AD43" i="13" s="1"/>
  <c r="AI63" i="5"/>
  <c r="AH63"/>
  <c r="AQ58"/>
  <c r="S45" i="25" s="1"/>
  <c r="AP58" i="5"/>
  <c r="S44" i="25" s="1"/>
  <c r="AO58" i="5"/>
  <c r="S43" i="25" s="1"/>
  <c r="AN58" i="5"/>
  <c r="S42" i="25" s="1"/>
  <c r="AM58" i="5"/>
  <c r="AC45" i="25" s="1"/>
  <c r="AL58" i="5"/>
  <c r="AC44" i="25" s="1"/>
  <c r="AK58" i="5"/>
  <c r="AC43" i="25" s="1"/>
  <c r="AJ58" i="5"/>
  <c r="AC42" i="25" s="1"/>
  <c r="AI58" i="5"/>
  <c r="AH58"/>
  <c r="AQ53"/>
  <c r="S48" i="20" s="1"/>
  <c r="AP53" i="5"/>
  <c r="S47" i="20" s="1"/>
  <c r="AO53" i="5"/>
  <c r="S46" i="20" s="1"/>
  <c r="AN53" i="5"/>
  <c r="S45" i="20" s="1"/>
  <c r="AM53" i="5"/>
  <c r="AB48" i="20" s="1"/>
  <c r="AL53" i="5"/>
  <c r="AB47" i="20" s="1"/>
  <c r="AK53" i="5"/>
  <c r="AB46" i="20" s="1"/>
  <c r="AJ53" i="5"/>
  <c r="AB45" i="20" s="1"/>
  <c r="AI53" i="5"/>
  <c r="AH53"/>
  <c r="F108" i="48" s="1"/>
  <c r="AQ48" i="5"/>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F102" i="48" s="1"/>
  <c r="AQ38" i="5"/>
  <c r="S46" i="17" s="1"/>
  <c r="AP38" i="5"/>
  <c r="S45" i="17" s="1"/>
  <c r="AO38" i="5"/>
  <c r="S44" i="17" s="1"/>
  <c r="AN38" i="5"/>
  <c r="S43" i="17" s="1"/>
  <c r="AM38" i="5"/>
  <c r="AD46" i="17" s="1"/>
  <c r="AL38" i="5"/>
  <c r="AD45" i="17" s="1"/>
  <c r="AK38" i="5"/>
  <c r="AD44" i="17" s="1"/>
  <c r="AJ38" i="5"/>
  <c r="AD43" i="17" s="1"/>
  <c r="AI38" i="5"/>
  <c r="AH38"/>
  <c r="F36" i="48" s="1"/>
  <c r="AQ33" i="5"/>
  <c r="U52" i="19" s="1"/>
  <c r="I53" s="1"/>
  <c r="J54" s="1"/>
  <c r="AP33" i="5"/>
  <c r="U51" i="19" s="1"/>
  <c r="AO33" i="5"/>
  <c r="U50" i="19" s="1"/>
  <c r="AN33" i="5"/>
  <c r="U49" i="19" s="1"/>
  <c r="AM33" i="5"/>
  <c r="AG52" i="19" s="1"/>
  <c r="AL33" i="5"/>
  <c r="AG51" i="19" s="1"/>
  <c r="AK33" i="5"/>
  <c r="AG50" i="19" s="1"/>
  <c r="AJ33" i="5"/>
  <c r="AI33"/>
  <c r="AH33"/>
  <c r="F96" i="48" s="1"/>
  <c r="AQ28" i="5"/>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G148" i="48" s="1"/>
  <c r="AI13" i="5"/>
  <c r="AH13"/>
  <c r="D6"/>
  <c r="D5"/>
  <c r="R13" i="4"/>
  <c r="I28" i="40" s="1"/>
  <c r="P13" i="4"/>
  <c r="I13"/>
  <c r="Q13" s="1"/>
  <c r="E7"/>
  <c r="D5"/>
  <c r="O40" i="3"/>
  <c r="M40" a="1"/>
  <c r="M40"/>
  <c r="E40"/>
  <c r="G39"/>
  <c r="N87" i="5" s="1"/>
  <c r="AK87" s="1"/>
  <c r="AC42" i="22" s="1"/>
  <c r="E39" i="3"/>
  <c r="O37"/>
  <c r="M37" a="1"/>
  <c r="M37" s="1"/>
  <c r="E37"/>
  <c r="O36"/>
  <c r="M36" a="1"/>
  <c r="M36" s="1"/>
  <c r="E36"/>
  <c r="O35"/>
  <c r="M35" a="1"/>
  <c r="M35" s="1"/>
  <c r="E35"/>
  <c r="O34"/>
  <c r="M34" a="1"/>
  <c r="M34" s="1"/>
  <c r="E34"/>
  <c r="O33"/>
  <c r="M33" a="1"/>
  <c r="M33" s="1"/>
  <c r="E33"/>
  <c r="O32"/>
  <c r="M32" a="1"/>
  <c r="M32" s="1"/>
  <c r="E32"/>
  <c r="E31"/>
  <c r="G31" s="1"/>
  <c r="N93" i="5" s="1"/>
  <c r="AK93" s="1"/>
  <c r="AC62" i="22" s="1"/>
  <c r="O29" i="3"/>
  <c r="M29" a="1"/>
  <c r="M29" s="1"/>
  <c r="E29"/>
  <c r="O28"/>
  <c r="M28" a="1"/>
  <c r="M28" s="1"/>
  <c r="E28"/>
  <c r="O27"/>
  <c r="M27" a="1"/>
  <c r="M27" s="1"/>
  <c r="E27"/>
  <c r="O26"/>
  <c r="M26" a="1"/>
  <c r="M26" s="1"/>
  <c r="E26"/>
  <c r="O25"/>
  <c r="M25" a="1"/>
  <c r="M25" s="1"/>
  <c r="E25"/>
  <c r="E24"/>
  <c r="G24" s="1"/>
  <c r="N82" i="5" s="1"/>
  <c r="AK82" s="1"/>
  <c r="AC52" i="21" s="1"/>
  <c r="O22" i="3"/>
  <c r="M22" a="1"/>
  <c r="M22" s="1"/>
  <c r="E22"/>
  <c r="O21"/>
  <c r="M21" a="1"/>
  <c r="M21" s="1"/>
  <c r="E21"/>
  <c r="O20"/>
  <c r="M20" a="1"/>
  <c r="M20" s="1"/>
  <c r="E20"/>
  <c r="O19"/>
  <c r="M19" a="1"/>
  <c r="M19" s="1"/>
  <c r="E19"/>
  <c r="O18"/>
  <c r="M18" a="1"/>
  <c r="M18" s="1"/>
  <c r="E18"/>
  <c r="E17"/>
  <c r="G17" s="1"/>
  <c r="N90" i="5" s="1"/>
  <c r="AK90" s="1"/>
  <c r="AC52" i="22" s="1"/>
  <c r="O15" i="3"/>
  <c r="M15" a="1"/>
  <c r="M15" s="1"/>
  <c r="E15"/>
  <c r="O14"/>
  <c r="M14" a="1"/>
  <c r="M14" s="1"/>
  <c r="E14"/>
  <c r="O13"/>
  <c r="M13" a="1"/>
  <c r="M13" s="1"/>
  <c r="E13"/>
  <c r="G12"/>
  <c r="N79" i="5" s="1"/>
  <c r="AK79" s="1"/>
  <c r="AC42" i="21" s="1"/>
  <c r="E12" i="3"/>
  <c r="E4"/>
  <c r="E59" i="2"/>
  <c r="E49"/>
  <c r="E41"/>
  <c r="E31"/>
  <c r="E27"/>
  <c r="E26"/>
  <c r="F25"/>
  <c r="E22"/>
  <c r="E21"/>
  <c r="F20"/>
  <c r="E19"/>
  <c r="I9"/>
  <c r="E3"/>
  <c r="E2"/>
  <c r="Y25" i="64"/>
  <c r="M10" i="54"/>
  <c r="AT47" i="31"/>
  <c r="M10" i="55"/>
  <c r="M2"/>
  <c r="M2" i="54"/>
  <c r="AL46" i="28"/>
  <c r="AL7"/>
  <c r="AL48" i="25"/>
  <c r="AR8" i="19"/>
  <c r="AN8" i="18"/>
  <c r="AN8" i="17"/>
  <c r="AN8" i="16"/>
  <c r="AL46" i="23"/>
  <c r="AS46" i="22"/>
  <c r="AS7"/>
  <c r="AS46" i="21"/>
  <c r="AS7"/>
  <c r="AV51" i="20"/>
  <c r="AN49" i="18"/>
  <c r="AN49" i="17"/>
  <c r="AN49" i="16"/>
  <c r="AN49" i="15"/>
  <c r="AN8" i="14"/>
  <c r="AN49" i="13"/>
  <c r="AN8" i="12"/>
  <c r="AN49" i="11"/>
  <c r="AT7" i="31"/>
  <c r="AT7" i="30"/>
  <c r="AL46" i="27"/>
  <c r="AL46" i="24"/>
  <c r="AL7" i="23"/>
  <c r="AS56" i="22"/>
  <c r="AS56" i="21"/>
  <c r="AV8" i="20"/>
  <c r="AT47" i="30"/>
  <c r="AL7" i="27"/>
  <c r="AL8" i="25"/>
  <c r="AL7" i="24"/>
  <c r="AS66" i="22"/>
  <c r="AR56" i="19"/>
  <c r="AR55"/>
  <c r="AN8" i="15"/>
  <c r="AN49" i="14"/>
  <c r="AN8" i="13"/>
  <c r="AN49" i="12"/>
  <c r="AN8" i="11"/>
  <c r="J13" i="3"/>
  <c r="J6" i="24" l="1"/>
  <c r="K7" s="1"/>
  <c r="S7" s="1"/>
  <c r="S5" i="30"/>
  <c r="B34" i="33"/>
  <c r="L6" i="51"/>
  <c r="H46"/>
  <c r="H48"/>
  <c r="E31" i="62"/>
  <c r="C31" s="1"/>
  <c r="D4" i="8" s="1"/>
  <c r="F10" i="55"/>
  <c r="J7" i="20"/>
  <c r="E70" i="33"/>
  <c r="K70" s="1"/>
  <c r="H47" i="51"/>
  <c r="K8" i="25"/>
  <c r="S8" s="1"/>
  <c r="S44" i="23"/>
  <c r="J45"/>
  <c r="J46" i="31"/>
  <c r="S45"/>
  <c r="J45" i="27"/>
  <c r="S44"/>
  <c r="J7" i="12"/>
  <c r="S6"/>
  <c r="S6" i="23"/>
  <c r="K7"/>
  <c r="S7" s="1"/>
  <c r="K7" i="27"/>
  <c r="S7" s="1"/>
  <c r="S6"/>
  <c r="J48" i="11"/>
  <c r="S47"/>
  <c r="K55" i="19"/>
  <c r="U54"/>
  <c r="J48" i="18"/>
  <c r="I47"/>
  <c r="J50" i="20"/>
  <c r="K51"/>
  <c r="S51" s="1"/>
  <c r="I49"/>
  <c r="S47" i="14"/>
  <c r="J48"/>
  <c r="S44" i="21"/>
  <c r="J45"/>
  <c r="J65" i="22"/>
  <c r="S64"/>
  <c r="S6" i="13"/>
  <c r="J7"/>
  <c r="S7" i="16"/>
  <c r="K8"/>
  <c r="S8" s="1"/>
  <c r="S7" i="18"/>
  <c r="K8"/>
  <c r="S8" s="1"/>
  <c r="S5" i="21"/>
  <c r="J6"/>
  <c r="J55"/>
  <c r="S54"/>
  <c r="S44" i="22"/>
  <c r="J45"/>
  <c r="J45" i="24"/>
  <c r="S44"/>
  <c r="J46" i="30"/>
  <c r="S45"/>
  <c r="J45" i="28"/>
  <c r="S44"/>
  <c r="S6" i="11"/>
  <c r="J7"/>
  <c r="J7" i="14"/>
  <c r="S6"/>
  <c r="S5" i="28"/>
  <c r="J6"/>
  <c r="I10" i="50"/>
  <c r="H10" i="45"/>
  <c r="I8" i="39"/>
  <c r="H15" i="34"/>
  <c r="I27" i="40"/>
  <c r="M11" i="35"/>
  <c r="I26" i="33"/>
  <c r="I11" i="37"/>
  <c r="I11" i="38"/>
  <c r="S47" i="12"/>
  <c r="J48"/>
  <c r="J48" i="17"/>
  <c r="I47"/>
  <c r="J48" i="15"/>
  <c r="S47"/>
  <c r="J47" i="25"/>
  <c r="K48"/>
  <c r="S48" s="1"/>
  <c r="I46"/>
  <c r="J55" i="22"/>
  <c r="S54"/>
  <c r="S6" i="15"/>
  <c r="J7"/>
  <c r="S7" i="17"/>
  <c r="K8"/>
  <c r="S8" s="1"/>
  <c r="U7" i="19"/>
  <c r="K8"/>
  <c r="S5" i="22"/>
  <c r="J6"/>
  <c r="I7" i="39"/>
  <c r="I9" i="50"/>
  <c r="H9" i="45"/>
  <c r="I10" i="38"/>
  <c r="I10" i="37"/>
  <c r="G24" i="64"/>
  <c r="L23"/>
  <c r="G239" i="48"/>
  <c r="G117"/>
  <c r="G300"/>
  <c r="G178"/>
  <c r="G54"/>
  <c r="G303"/>
  <c r="G181"/>
  <c r="G57"/>
  <c r="G242"/>
  <c r="G120"/>
  <c r="F306"/>
  <c r="F184"/>
  <c r="F245"/>
  <c r="F123"/>
  <c r="G309"/>
  <c r="G187"/>
  <c r="G63"/>
  <c r="G248"/>
  <c r="G126"/>
  <c r="F312"/>
  <c r="F190"/>
  <c r="F251"/>
  <c r="F129"/>
  <c r="G315"/>
  <c r="G193"/>
  <c r="G69"/>
  <c r="AG42" i="31"/>
  <c r="G254" i="48"/>
  <c r="G132"/>
  <c r="F318"/>
  <c r="F196"/>
  <c r="F257"/>
  <c r="F135"/>
  <c r="G321"/>
  <c r="G199"/>
  <c r="G75"/>
  <c r="G260"/>
  <c r="G138"/>
  <c r="F324"/>
  <c r="F202"/>
  <c r="F263"/>
  <c r="F141"/>
  <c r="G327"/>
  <c r="G205"/>
  <c r="G81"/>
  <c r="G266"/>
  <c r="G144"/>
  <c r="AD46" i="29"/>
  <c r="S6" i="31"/>
  <c r="K7"/>
  <c r="S7" s="1"/>
  <c r="D35" i="7"/>
  <c r="S45" i="13"/>
  <c r="AD46"/>
  <c r="AD43" i="14"/>
  <c r="AD44"/>
  <c r="S46" i="16"/>
  <c r="AC41" i="22"/>
  <c r="AC41" i="23"/>
  <c r="S5" i="27"/>
  <c r="I27" i="33"/>
  <c r="M10" i="35"/>
  <c r="I26" i="40"/>
  <c r="I38" i="43"/>
  <c r="F60" i="48"/>
  <c r="G5"/>
  <c r="G270"/>
  <c r="G2"/>
  <c r="G209"/>
  <c r="G87"/>
  <c r="F212"/>
  <c r="F273"/>
  <c r="F151"/>
  <c r="F27"/>
  <c r="F276"/>
  <c r="F215"/>
  <c r="F93"/>
  <c r="G279"/>
  <c r="G157"/>
  <c r="G33"/>
  <c r="G218"/>
  <c r="G96"/>
  <c r="F282"/>
  <c r="F221"/>
  <c r="F99"/>
  <c r="G285"/>
  <c r="G163"/>
  <c r="G39"/>
  <c r="G224"/>
  <c r="G102"/>
  <c r="F288"/>
  <c r="F227"/>
  <c r="F105"/>
  <c r="G291"/>
  <c r="G169"/>
  <c r="G45"/>
  <c r="G230"/>
  <c r="G108"/>
  <c r="F294"/>
  <c r="F172"/>
  <c r="F233"/>
  <c r="F111"/>
  <c r="G297"/>
  <c r="G175"/>
  <c r="G51"/>
  <c r="G236"/>
  <c r="G114"/>
  <c r="AI87" i="5"/>
  <c r="AI93"/>
  <c r="D36" i="7"/>
  <c r="S46" i="13"/>
  <c r="I47" s="1"/>
  <c r="S43" i="14"/>
  <c r="S44"/>
  <c r="AD45"/>
  <c r="AD44" i="16"/>
  <c r="AD43" i="18"/>
  <c r="S5" i="23"/>
  <c r="S6" i="24"/>
  <c r="AD46" i="26"/>
  <c r="M12" i="35"/>
  <c r="F30" i="48"/>
  <c r="F78"/>
  <c r="F166"/>
  <c r="I9" i="39"/>
  <c r="I11" i="50"/>
  <c r="H11" i="45"/>
  <c r="I12" i="38"/>
  <c r="I12" i="37"/>
  <c r="H16" i="34"/>
  <c r="F300" i="48"/>
  <c r="F178"/>
  <c r="F239"/>
  <c r="F117"/>
  <c r="F242"/>
  <c r="F303"/>
  <c r="F181"/>
  <c r="F57"/>
  <c r="G245"/>
  <c r="G123"/>
  <c r="G306"/>
  <c r="G184"/>
  <c r="G60"/>
  <c r="F248"/>
  <c r="F309"/>
  <c r="F187"/>
  <c r="F63"/>
  <c r="G251"/>
  <c r="G129"/>
  <c r="G312"/>
  <c r="G190"/>
  <c r="G66"/>
  <c r="AG42" i="30"/>
  <c r="F254" i="48"/>
  <c r="F315"/>
  <c r="F193"/>
  <c r="F69"/>
  <c r="G257"/>
  <c r="G135"/>
  <c r="G318"/>
  <c r="G196"/>
  <c r="G72"/>
  <c r="F260"/>
  <c r="F321"/>
  <c r="F199"/>
  <c r="F75"/>
  <c r="G263"/>
  <c r="G141"/>
  <c r="G324"/>
  <c r="G202"/>
  <c r="G78"/>
  <c r="AC41" i="28"/>
  <c r="F266" i="48"/>
  <c r="F327"/>
  <c r="F205"/>
  <c r="F81"/>
  <c r="AI79" i="5"/>
  <c r="D37" i="7"/>
  <c r="D38" s="1"/>
  <c r="D39" s="1"/>
  <c r="AD43" i="11"/>
  <c r="S43" i="16"/>
  <c r="S44"/>
  <c r="AD45"/>
  <c r="H14" i="34"/>
  <c r="G24" i="48"/>
  <c r="F48"/>
  <c r="F72"/>
  <c r="F120"/>
  <c r="F144"/>
  <c r="F160"/>
  <c r="F270"/>
  <c r="F148"/>
  <c r="F24"/>
  <c r="F209"/>
  <c r="F87"/>
  <c r="G273"/>
  <c r="G151"/>
  <c r="G27"/>
  <c r="G212"/>
  <c r="G90"/>
  <c r="G215"/>
  <c r="G93"/>
  <c r="G276"/>
  <c r="G154"/>
  <c r="G30"/>
  <c r="O19" i="64"/>
  <c r="F218" i="48"/>
  <c r="F279"/>
  <c r="F157"/>
  <c r="F33"/>
  <c r="G221"/>
  <c r="G99"/>
  <c r="G282"/>
  <c r="G160"/>
  <c r="G36"/>
  <c r="F224"/>
  <c r="F285"/>
  <c r="F163"/>
  <c r="F39"/>
  <c r="G227"/>
  <c r="G105"/>
  <c r="G288"/>
  <c r="G166"/>
  <c r="G42"/>
  <c r="F230"/>
  <c r="F291"/>
  <c r="F169"/>
  <c r="F45"/>
  <c r="G233"/>
  <c r="G111"/>
  <c r="G294"/>
  <c r="G172"/>
  <c r="G48"/>
  <c r="F236"/>
  <c r="F297"/>
  <c r="F175"/>
  <c r="F51"/>
  <c r="I31" i="33"/>
  <c r="I136" s="1"/>
  <c r="H31"/>
  <c r="H136" s="1"/>
  <c r="S45" i="16"/>
  <c r="AD46"/>
  <c r="AG49" i="19"/>
  <c r="I6" i="20"/>
  <c r="AC41" i="24"/>
  <c r="AC41" i="27"/>
  <c r="K7" i="30"/>
  <c r="S7" s="1"/>
  <c r="I25" i="33"/>
  <c r="F42" i="48"/>
  <c r="F66"/>
  <c r="F90"/>
  <c r="F114"/>
  <c r="F138"/>
  <c r="F154"/>
  <c r="I36" i="43"/>
  <c r="H36" s="1"/>
  <c r="E28" i="47"/>
  <c r="E38"/>
  <c r="E10" i="49"/>
  <c r="G46" i="51"/>
  <c r="G47"/>
  <c r="G48"/>
  <c r="H49"/>
  <c r="H50"/>
  <c r="H53"/>
  <c r="E5" i="54"/>
  <c r="E5" i="55"/>
  <c r="E30" i="62"/>
  <c r="C30" s="1"/>
  <c r="D14" i="47" s="1"/>
  <c r="E32" i="62"/>
  <c r="C32" s="1"/>
  <c r="AA12" i="63"/>
  <c r="N12" s="1"/>
  <c r="I16" i="45" s="1"/>
  <c r="AA16" i="63"/>
  <c r="N16" s="1"/>
  <c r="I21" i="45" s="1"/>
  <c r="U148" i="63"/>
  <c r="M148" s="1"/>
  <c r="E12" i="46" s="1"/>
  <c r="G17"/>
  <c r="E25" i="47"/>
  <c r="E35"/>
  <c r="E14" i="48"/>
  <c r="M24"/>
  <c r="M148"/>
  <c r="M270"/>
  <c r="J46" i="51"/>
  <c r="J47"/>
  <c r="G49"/>
  <c r="G50"/>
  <c r="F2" i="54"/>
  <c r="E3" i="62"/>
  <c r="C3" s="1"/>
  <c r="D5" i="45" s="1"/>
  <c r="E5" i="62"/>
  <c r="C5" s="1"/>
  <c r="D5" i="46" s="1"/>
  <c r="AA13" i="63"/>
  <c r="N13" s="1"/>
  <c r="I17" i="45" s="1"/>
  <c r="J49" i="51"/>
  <c r="J50"/>
  <c r="J51"/>
  <c r="J52"/>
  <c r="J45" s="1"/>
  <c r="E5" i="2" s="1"/>
  <c r="E6" i="62"/>
  <c r="C6" s="1"/>
  <c r="E21" i="33" s="1"/>
  <c r="E29" i="62"/>
  <c r="C29" s="1"/>
  <c r="D5" i="49" s="1"/>
  <c r="U14" i="63"/>
  <c r="M14" s="1"/>
  <c r="E18" i="45" s="1"/>
  <c r="AA15" i="63"/>
  <c r="N15" s="1"/>
  <c r="I19" i="45" s="1"/>
  <c r="E31" i="47"/>
  <c r="E42"/>
  <c r="M87" i="48"/>
  <c r="M209"/>
  <c r="E11" i="49"/>
  <c r="AA11" i="63"/>
  <c r="N11" s="1"/>
  <c r="I15" i="45" s="1"/>
  <c r="H38" i="43" l="1"/>
  <c r="I58"/>
  <c r="H58" s="1"/>
  <c r="H25" i="64"/>
  <c r="L25" s="1"/>
  <c r="L24"/>
  <c r="L9" i="19"/>
  <c r="U9" s="1"/>
  <c r="U8"/>
  <c r="K8" i="15"/>
  <c r="S8" s="1"/>
  <c r="S7"/>
  <c r="S48"/>
  <c r="K49"/>
  <c r="S49" s="1"/>
  <c r="K8" i="13"/>
  <c r="S8" s="1"/>
  <c r="S7"/>
  <c r="S45" i="21"/>
  <c r="K46"/>
  <c r="S46" s="1"/>
  <c r="S48" i="18"/>
  <c r="K49"/>
  <c r="S49" s="1"/>
  <c r="S48" i="11"/>
  <c r="K49"/>
  <c r="S49" s="1"/>
  <c r="S45" i="27"/>
  <c r="K46"/>
  <c r="S46" s="1"/>
  <c r="F5" i="44"/>
  <c r="F5" i="41"/>
  <c r="F5" i="43"/>
  <c r="F5" i="42"/>
  <c r="D40" i="7"/>
  <c r="D41"/>
  <c r="D43"/>
  <c r="D44" s="1"/>
  <c r="D45" s="1"/>
  <c r="J48" i="16"/>
  <c r="I47"/>
  <c r="S55" i="22"/>
  <c r="K56"/>
  <c r="S56" s="1"/>
  <c r="K49" i="12"/>
  <c r="S49" s="1"/>
  <c r="S48"/>
  <c r="K47" i="30"/>
  <c r="S47" s="1"/>
  <c r="S46"/>
  <c r="K66" i="22"/>
  <c r="S66" s="1"/>
  <c r="S65"/>
  <c r="S45" i="23"/>
  <c r="K46"/>
  <c r="S46" s="1"/>
  <c r="S6" i="22"/>
  <c r="K7"/>
  <c r="S7" s="1"/>
  <c r="S48" i="17"/>
  <c r="K49"/>
  <c r="S49" s="1"/>
  <c r="K7" i="28"/>
  <c r="S7" s="1"/>
  <c r="S6"/>
  <c r="K8" i="11"/>
  <c r="S8" s="1"/>
  <c r="S7"/>
  <c r="S45" i="22"/>
  <c r="K46"/>
  <c r="S46" s="1"/>
  <c r="S6" i="21"/>
  <c r="K7"/>
  <c r="S7" s="1"/>
  <c r="K49" i="14"/>
  <c r="S49" s="1"/>
  <c r="S48"/>
  <c r="L56" i="19"/>
  <c r="U56" s="1"/>
  <c r="U55"/>
  <c r="S7" i="12"/>
  <c r="K8"/>
  <c r="S8" s="1"/>
  <c r="K47" i="31"/>
  <c r="S47" s="1"/>
  <c r="S46"/>
  <c r="D4" i="4"/>
  <c r="B5" i="1"/>
  <c r="J48" i="13"/>
  <c r="S47"/>
  <c r="S7" i="14"/>
  <c r="K8"/>
  <c r="S8" s="1"/>
  <c r="S45" i="28"/>
  <c r="K46"/>
  <c r="S46" s="1"/>
  <c r="S45" i="24"/>
  <c r="K46"/>
  <c r="S46" s="1"/>
  <c r="S55" i="21"/>
  <c r="K56"/>
  <c r="S56" s="1"/>
  <c r="S48" i="13" l="1"/>
  <c r="K49"/>
  <c r="S49" s="1"/>
  <c r="D48" i="7"/>
  <c r="D49"/>
  <c r="D46"/>
  <c r="D51"/>
  <c r="D47"/>
  <c r="S48" i="16"/>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<sst xmlns="http://schemas.openxmlformats.org/spreadsheetml/2006/main" count="19254" uniqueCount="4769">
  <si>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</si>
  <si>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</si>
  <si>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</si>
  <si>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</si>
  <si>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</si>
  <si>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</si>
  <si>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</si>
  <si>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</si>
  <si>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</si>
  <si>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</si>
  <si>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</si>
  <si>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</si>
  <si>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</si>
  <si>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</si>
  <si>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</si>
  <si>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</si>
  <si>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</si>
  <si>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</si>
  <si>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</si>
  <si>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</si>
  <si>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</si>
  <si>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</si>
  <si>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</si>
  <si>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</si>
  <si>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</si>
  <si>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</si>
  <si>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</si>
  <si>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</si>
  <si>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</si>
  <si>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</si>
  <si>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</si>
  <si>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</si>
  <si>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</si>
  <si>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</si>
  <si>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</si>
  <si>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</si>
  <si>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</si>
  <si>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</si>
  <si>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</si>
  <si>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</si>
  <si>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</si>
  <si>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440,503</t>
  </si>
  <si>
    <t>Наименование органа регулирования, принявшего решение об утверждении тарифов</t>
  </si>
  <si>
    <t>Региональная служба по тарифам Ростовской области</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</si>
  <si>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</si>
  <si>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</si>
  <si>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</si>
  <si>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</si>
  <si>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</si>
  <si>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</si>
  <si>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</si>
  <si>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</si>
  <si>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</si>
  <si>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</si>
  <si>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</si>
  <si>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</si>
  <si>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</si>
  <si>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</si>
  <si>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</si>
  <si>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</si>
  <si>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</si>
  <si>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</si>
  <si>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</si>
  <si>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</si>
  <si>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</si>
  <si>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</si>
  <si>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</si>
  <si>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</si>
  <si>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</si>
  <si>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</si>
  <si>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344029, г. Ростов-на-Дону, ул. Текучева, 237</t>
  </si>
  <si>
    <t>Фамилия, имя, отчество руководителя</t>
  </si>
  <si>
    <t>Дзреян Владимир Аршакович</t>
  </si>
  <si>
    <t>Ответственный за заполнение формы</t>
  </si>
  <si>
    <t>Фамилия, имя, отчество</t>
  </si>
  <si>
    <t>Орлова Ольга Владимировна</t>
  </si>
  <si>
    <t>Должность</t>
  </si>
  <si>
    <t>Ведущий экономист</t>
  </si>
  <si>
    <t>Контактный телефон</t>
  </si>
  <si>
    <t>8863 259-04-69</t>
  </si>
  <si>
    <t>E-mail</t>
  </si>
  <si>
    <t>skdtv@yandex.ru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</si>
  <si>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</si>
  <si>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</si>
  <si>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</si>
  <si>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</si>
  <si>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</si>
  <si>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</si>
  <si>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</si>
  <si>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</si>
  <si>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</si>
  <si>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</si>
  <si>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</si>
  <si>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</si>
  <si>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</si>
  <si>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</si>
  <si>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</si>
  <si>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</si>
  <si>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</si>
  <si>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92</t>
  </si>
  <si>
    <t>Город Ростов-на-Дону</t>
  </si>
  <si>
    <t>60701000</t>
  </si>
  <si>
    <t>2</t>
  </si>
  <si>
    <t>×</t>
  </si>
  <si>
    <t>84</t>
  </si>
  <si>
    <t>Город Батайск</t>
  </si>
  <si>
    <t>60707000</t>
  </si>
  <si>
    <t>93</t>
  </si>
  <si>
    <t>Город Таганрог</t>
  </si>
  <si>
    <t>60737000</t>
  </si>
  <si>
    <t>Добавить МО</t>
  </si>
  <si>
    <t>ter_5</t>
  </si>
  <si>
    <t>89</t>
  </si>
  <si>
    <t>Город Каменск-Шахтинский</t>
  </si>
  <si>
    <t>60719000</t>
  </si>
  <si>
    <t>161</t>
  </si>
  <si>
    <t>Каменский район</t>
  </si>
  <si>
    <t>Богдановское сельское поселение</t>
  </si>
  <si>
    <t>60623410</t>
  </si>
  <si>
    <t>238</t>
  </si>
  <si>
    <t>Миллеровский район</t>
  </si>
  <si>
    <t>Миллеровское городское поселение</t>
  </si>
  <si>
    <t>60632101</t>
  </si>
  <si>
    <t>44</t>
  </si>
  <si>
    <t>Белокалитвинский район</t>
  </si>
  <si>
    <t>Коксовское сельское поселение</t>
  </si>
  <si>
    <t>60606433</t>
  </si>
  <si>
    <t>5</t>
  </si>
  <si>
    <t>49</t>
  </si>
  <si>
    <t>Синегорское сельское поселение</t>
  </si>
  <si>
    <t>60606459</t>
  </si>
  <si>
    <t>ter_51</t>
  </si>
  <si>
    <t>371</t>
  </si>
  <si>
    <t>Сальский район</t>
  </si>
  <si>
    <t>Сальское городское поселение</t>
  </si>
  <si>
    <t>60650101</t>
  </si>
  <si>
    <t>329</t>
  </si>
  <si>
    <t>Песчанокопский район</t>
  </si>
  <si>
    <t>Песчанокопское сельское поселение</t>
  </si>
  <si>
    <t>60644455</t>
  </si>
  <si>
    <t>85</t>
  </si>
  <si>
    <t>Город Волгодонск</t>
  </si>
  <si>
    <t>60712000</t>
  </si>
  <si>
    <t>143</t>
  </si>
  <si>
    <t>Зимовниковский район</t>
  </si>
  <si>
    <t>Зимовниковское сельское поселение</t>
  </si>
  <si>
    <t>60619417</t>
  </si>
  <si>
    <t>112</t>
  </si>
  <si>
    <t>Егорлыкский район</t>
  </si>
  <si>
    <t>Егорлыкское сельское поселение</t>
  </si>
  <si>
    <t>60615417</t>
  </si>
  <si>
    <t>ter_511</t>
  </si>
  <si>
    <t>Азовский район</t>
  </si>
  <si>
    <t>Кагальницкое сельское поселение</t>
  </si>
  <si>
    <t>60601430</t>
  </si>
  <si>
    <t>320</t>
  </si>
  <si>
    <t>Орловский район</t>
  </si>
  <si>
    <t>Орловское сельское поселение</t>
  </si>
  <si>
    <t>60642446</t>
  </si>
  <si>
    <t>101</t>
  </si>
  <si>
    <t>Дубовский район</t>
  </si>
  <si>
    <t>Дубовское сельское поселение</t>
  </si>
  <si>
    <t>60613425</t>
  </si>
  <si>
    <t>354</t>
  </si>
  <si>
    <t>Ремонтненский район</t>
  </si>
  <si>
    <t>Ремонтненское сельское поселение</t>
  </si>
  <si>
    <t>60647472</t>
  </si>
  <si>
    <t>108</t>
  </si>
  <si>
    <t>Семичанское сельское поселение</t>
  </si>
  <si>
    <t>60613471</t>
  </si>
  <si>
    <t>ter_5111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</si>
  <si>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</si>
  <si>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</si>
  <si>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</si>
  <si>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</si>
  <si>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</si>
  <si>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</si>
  <si>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</si>
  <si>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</si>
  <si>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</si>
  <si>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</si>
  <si>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</si>
  <si>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</si>
  <si>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</si>
  <si>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</si>
  <si>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</si>
  <si>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</si>
  <si>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</si>
  <si>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</si>
  <si>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</si>
  <si>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</si>
  <si>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</si>
  <si>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</si>
  <si>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</si>
  <si>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</si>
  <si>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</si>
  <si>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</si>
  <si>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</si>
  <si>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</si>
  <si>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</si>
  <si>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</si>
  <si>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</si>
  <si>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</si>
  <si>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</si>
  <si>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</si>
  <si>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</si>
  <si>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</si>
  <si>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</si>
  <si>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</si>
  <si>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</si>
  <si>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</si>
  <si>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</si>
  <si>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</si>
  <si>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</si>
  <si>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</si>
  <si>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</si>
  <si>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</si>
  <si>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</si>
  <si>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</si>
  <si>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</si>
  <si>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</si>
  <si>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</si>
  <si>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</si>
  <si>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</si>
  <si>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</si>
  <si>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</si>
  <si>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</si>
  <si>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</si>
  <si>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</si>
  <si>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</si>
  <si>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</si>
  <si>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</si>
  <si>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</si>
  <si>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</si>
  <si>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</si>
  <si>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</si>
  <si>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</si>
  <si>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</si>
  <si>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</si>
  <si>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</si>
  <si>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</si>
  <si>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</si>
  <si>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</si>
  <si>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</si>
  <si>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</si>
  <si>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</si>
  <si>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</si>
  <si>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</si>
  <si>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</si>
  <si>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</si>
  <si>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</si>
  <si>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</si>
  <si>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</si>
  <si>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</si>
  <si>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</si>
  <si>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</si>
  <si>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</si>
  <si>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</si>
  <si>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</si>
  <si>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</si>
  <si>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</si>
  <si>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</si>
  <si>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</si>
  <si>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</si>
  <si>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</si>
  <si>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</si>
  <si>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</si>
  <si>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</si>
  <si>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</si>
  <si>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</si>
  <si>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</si>
  <si>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</si>
  <si>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</si>
  <si>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</si>
  <si>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</si>
  <si>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</si>
  <si>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</si>
  <si>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</si>
  <si>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</si>
  <si>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</si>
  <si>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</si>
  <si>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</si>
  <si>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</si>
  <si>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</si>
  <si>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</si>
  <si>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</si>
  <si>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</si>
  <si>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</si>
  <si>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</si>
  <si>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холодное водоснабжение (питьевая)</t>
  </si>
  <si>
    <t>"4189671"</t>
  </si>
  <si>
    <t>pIns_PT_VTAR_A_COLDVSNA</t>
  </si>
  <si>
    <t>pt_ntar_9</t>
  </si>
  <si>
    <t>pt_ter_9</t>
  </si>
  <si>
    <t>pt_cs_9</t>
  </si>
  <si>
    <t>Добавить централизованную систему для дифференциации</t>
  </si>
  <si>
    <t>pt_ter_30</t>
  </si>
  <si>
    <t>pt_cs_30</t>
  </si>
  <si>
    <t>pt_ist_te_30</t>
  </si>
  <si>
    <t>Добавить территорию для дифференциации</t>
  </si>
  <si>
    <t>Добавить наименование тарифа</t>
  </si>
  <si>
    <t>Тариф на техническую воду</t>
  </si>
  <si>
    <t>Тариф на холодное водоснабжение (техническая)</t>
  </si>
  <si>
    <t>"4189672"</t>
  </si>
  <si>
    <t>pIns_PT_VTAR_B_COLDVSNA</t>
  </si>
  <si>
    <t>pt_ntar_10</t>
  </si>
  <si>
    <t>pt_ter_10</t>
  </si>
  <si>
    <t>pt_cs_10</t>
  </si>
  <si>
    <t>pt_ter_31</t>
  </si>
  <si>
    <t>pt_cs_31</t>
  </si>
  <si>
    <t>pt_ist_te_31</t>
  </si>
  <si>
    <t>pt_ter_32</t>
  </si>
  <si>
    <t>pt_cs_32</t>
  </si>
  <si>
    <t>pt_ist_te_32</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</si>
  <si>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</si>
  <si>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</si>
  <si>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</si>
  <si>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</si>
  <si>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</si>
  <si>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</si>
  <si>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</si>
  <si>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</si>
  <si>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</si>
  <si>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</si>
  <si>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</si>
  <si>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</si>
  <si>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</si>
  <si>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</si>
  <si>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</si>
  <si>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</si>
  <si>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</si>
  <si>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</si>
  <si>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</si>
  <si>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</si>
  <si>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</si>
  <si>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</si>
  <si>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</si>
  <si>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</si>
  <si>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</si>
  <si>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</si>
  <si>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</si>
  <si>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</si>
  <si>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</si>
  <si>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</si>
  <si>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</si>
  <si>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</si>
  <si>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</si>
  <si>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</si>
  <si>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</si>
  <si>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</si>
  <si>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</si>
  <si>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</si>
  <si>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</si>
  <si>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</si>
  <si>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</si>
  <si>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</si>
  <si>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</si>
  <si>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</si>
  <si>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</si>
  <si>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</si>
  <si>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</si>
  <si>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</si>
  <si>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</si>
  <si>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</si>
  <si>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</si>
  <si>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</si>
  <si>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</si>
  <si>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</si>
  <si>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</si>
  <si>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</si>
  <si>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</si>
  <si>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</si>
  <si>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</si>
  <si>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</si>
  <si>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</si>
  <si>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</si>
  <si>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</si>
  <si>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</si>
  <si>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</si>
  <si>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</si>
  <si>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</si>
  <si>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</si>
  <si>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</si>
  <si>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</si>
  <si>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</si>
  <si>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</si>
  <si>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</si>
  <si>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</si>
  <si>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</si>
  <si>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</si>
  <si>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</si>
  <si>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</si>
  <si>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</si>
  <si>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</si>
  <si>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</si>
  <si>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</si>
  <si>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</si>
  <si>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</si>
  <si>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</si>
  <si>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</si>
  <si>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</si>
  <si>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</si>
  <si>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</si>
  <si>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</si>
  <si>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</si>
  <si>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</si>
  <si>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</si>
  <si>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</si>
  <si>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</si>
  <si>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</si>
  <si>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</si>
  <si>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</si>
  <si>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</si>
  <si>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</si>
  <si>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</si>
  <si>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</si>
  <si>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</si>
  <si>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</si>
  <si>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</si>
  <si>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</si>
  <si>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</si>
  <si>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</si>
  <si>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</si>
  <si>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</si>
  <si>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</si>
  <si>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</si>
  <si>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</si>
  <si>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</si>
  <si>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</si>
  <si>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</si>
  <si>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</si>
  <si>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</si>
  <si>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</si>
  <si>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</si>
  <si>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</si>
  <si>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</si>
  <si>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</si>
  <si>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</si>
  <si>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</si>
  <si>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</si>
  <si>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</si>
  <si>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</si>
  <si>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</si>
  <si>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</si>
  <si>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</si>
  <si>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</si>
  <si>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</si>
  <si>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</si>
  <si>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</si>
  <si>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</si>
  <si>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</si>
  <si>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</si>
  <si>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</si>
  <si>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</si>
  <si>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</si>
  <si>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</si>
  <si>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</si>
  <si>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</si>
  <si>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</si>
  <si>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</si>
  <si>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</si>
  <si>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</si>
  <si>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</si>
  <si>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</si>
  <si>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</si>
  <si>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</si>
  <si>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</si>
  <si>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</si>
  <si>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</si>
  <si>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</si>
  <si>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</si>
  <si>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</si>
  <si>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</si>
  <si>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</si>
  <si>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</si>
  <si>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</si>
  <si>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</si>
  <si>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</si>
  <si>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</si>
  <si>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</si>
  <si>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</si>
  <si>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</si>
  <si>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</si>
  <si>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</si>
  <si>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</si>
  <si>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</si>
  <si>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</si>
  <si>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</si>
  <si>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</si>
  <si>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</si>
  <si>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</si>
  <si>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</si>
  <si>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</si>
  <si>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</si>
  <si>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</si>
  <si>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</si>
  <si>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</si>
  <si>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</si>
  <si>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</si>
  <si>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</si>
  <si>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</si>
  <si>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</si>
  <si>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</si>
  <si>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</si>
  <si>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</si>
  <si>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</si>
  <si>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</si>
  <si>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</si>
  <si>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</si>
  <si>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</si>
  <si>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</si>
  <si>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</si>
  <si>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</si>
  <si>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</si>
  <si>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</si>
  <si>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</si>
  <si>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</si>
  <si>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</si>
  <si>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</si>
  <si>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</si>
  <si>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</si>
  <si>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</si>
  <si>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</si>
  <si>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</si>
  <si>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</si>
  <si>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</si>
  <si>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</si>
  <si>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</si>
  <si>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</si>
  <si>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</si>
  <si>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</si>
  <si>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</si>
  <si>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</si>
  <si>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</si>
  <si>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</si>
  <si>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</si>
  <si>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</si>
  <si>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</si>
  <si>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</si>
  <si>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</si>
  <si>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</si>
  <si>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</si>
  <si>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</si>
  <si>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</si>
  <si>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</si>
  <si>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</si>
  <si>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</si>
  <si>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</si>
  <si>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</si>
  <si>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</si>
  <si>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</si>
  <si>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</si>
  <si>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</si>
  <si>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</si>
  <si>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</si>
  <si>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</si>
  <si>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</si>
  <si>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</si>
  <si>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</si>
  <si>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</si>
  <si>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</si>
  <si>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</si>
  <si>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</si>
  <si>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</si>
  <si>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</si>
  <si>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</si>
  <si>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</si>
  <si>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</si>
  <si>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</si>
  <si>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</si>
  <si>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</si>
  <si>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</si>
  <si>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</si>
  <si>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без дифференциации</t>
  </si>
  <si>
    <t>Тариф (руб./куб.м без НДС)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</si>
  <si>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</si>
  <si>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</si>
  <si>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</si>
  <si>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</si>
  <si>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</si>
  <si>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</si>
  <si>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</si>
  <si>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</si>
  <si>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</si>
  <si>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</si>
  <si>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</si>
  <si>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</si>
  <si>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</si>
  <si>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</si>
  <si>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</si>
  <si>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</si>
  <si>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</si>
  <si>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</si>
  <si>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</si>
  <si>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</si>
  <si>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</si>
  <si>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</si>
  <si>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</si>
  <si>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</si>
  <si>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</si>
  <si>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</si>
  <si>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</si>
  <si>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</si>
  <si>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</si>
  <si>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</si>
  <si>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</si>
  <si>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</si>
  <si>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</si>
  <si>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</si>
  <si>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</si>
  <si>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</si>
  <si>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</si>
  <si>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</si>
  <si>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</si>
  <si>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</si>
  <si>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</si>
  <si>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</si>
  <si>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</si>
  <si>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</si>
  <si>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</si>
  <si>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</si>
  <si>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</si>
  <si>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</si>
  <si>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</si>
  <si>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</si>
  <si>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</si>
  <si>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</si>
  <si>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</si>
  <si>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</si>
  <si>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</si>
  <si>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</si>
  <si>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</si>
  <si>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</si>
  <si>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</si>
  <si>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</si>
  <si>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</si>
  <si>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</si>
  <si>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</si>
  <si>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</si>
  <si>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</si>
  <si>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</si>
  <si>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</si>
  <si>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</si>
  <si>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</si>
  <si>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</si>
  <si>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</si>
  <si>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</si>
  <si>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</si>
  <si>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</si>
  <si>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</si>
  <si>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</si>
  <si>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</si>
  <si>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</si>
  <si>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</si>
  <si>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</si>
  <si>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</si>
  <si>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</si>
  <si>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</si>
  <si>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</si>
  <si>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</si>
  <si>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</si>
  <si>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</si>
  <si>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</si>
  <si>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</si>
  <si>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</si>
  <si>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</si>
  <si>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</si>
  <si>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</si>
  <si>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</si>
  <si>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</si>
  <si>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</si>
  <si>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</si>
  <si>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</si>
  <si>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</si>
  <si>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</si>
  <si>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</si>
  <si>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</si>
  <si>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</si>
  <si>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</si>
  <si>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</si>
  <si>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</si>
  <si>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</si>
  <si>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</si>
  <si>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</si>
  <si>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</si>
  <si>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</si>
  <si>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</si>
  <si>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</si>
  <si>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</si>
  <si>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</si>
  <si>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</si>
  <si>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</si>
  <si>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</si>
  <si>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</si>
  <si>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</si>
  <si>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</si>
  <si>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</si>
  <si>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</si>
  <si>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</si>
  <si>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</si>
  <si>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</si>
  <si>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</si>
  <si>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</si>
  <si>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</si>
  <si>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</si>
  <si>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</si>
  <si>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</si>
  <si>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</si>
  <si>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</si>
  <si>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</si>
  <si>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</si>
  <si>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</si>
  <si>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</si>
  <si>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</si>
  <si>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</si>
  <si>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</si>
  <si>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</si>
  <si>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</si>
  <si>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</si>
  <si>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</si>
  <si>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</si>
  <si>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</si>
  <si>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</si>
  <si>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</si>
  <si>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</si>
  <si>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</si>
  <si>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</si>
  <si>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</si>
  <si>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</si>
  <si>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</si>
  <si>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</si>
  <si>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</si>
  <si>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</si>
  <si>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</si>
  <si>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</si>
  <si>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</si>
  <si>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</si>
  <si>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</si>
  <si>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</si>
  <si>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</si>
  <si>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</si>
  <si>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</si>
  <si>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</si>
  <si>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</si>
  <si>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</si>
  <si>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</si>
  <si>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</si>
  <si>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</si>
  <si>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</si>
  <si>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</si>
  <si>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</si>
  <si>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</si>
  <si>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</si>
  <si>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</si>
  <si>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</si>
  <si>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</si>
  <si>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</si>
  <si>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</si>
  <si>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</si>
  <si>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</si>
  <si>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</si>
  <si>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</si>
  <si>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</si>
  <si>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</si>
  <si>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</si>
  <si>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</si>
  <si>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</si>
  <si>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</si>
  <si>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</si>
  <si>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</si>
  <si>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</si>
  <si>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</si>
  <si>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</si>
  <si>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</si>
  <si>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</si>
  <si>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</si>
  <si>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</si>
  <si>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</si>
  <si>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</si>
  <si>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</si>
  <si>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</si>
  <si>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</si>
  <si>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</si>
  <si>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</si>
  <si>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</si>
  <si>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</si>
  <si>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</si>
  <si>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</si>
  <si>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</si>
  <si>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</si>
  <si>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</si>
  <si>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</si>
  <si>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</si>
  <si>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</si>
  <si>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</si>
  <si>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</si>
  <si>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</si>
  <si>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</si>
  <si>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</si>
  <si>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</si>
  <si>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</si>
  <si>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</si>
  <si>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</si>
  <si>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</si>
  <si>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</si>
  <si>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</si>
  <si>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</si>
  <si>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</si>
  <si>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</si>
  <si>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</si>
  <si>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</si>
  <si>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</si>
  <si>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</si>
  <si>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</si>
  <si>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</si>
  <si>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</si>
  <si>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</si>
  <si>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</si>
  <si>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</si>
  <si>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</si>
  <si>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</si>
  <si>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</si>
  <si>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</si>
  <si>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</si>
  <si>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</si>
  <si>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</si>
  <si>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</si>
  <si>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</si>
  <si>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</si>
  <si>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</si>
  <si>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</si>
  <si>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</si>
  <si>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</si>
  <si>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</si>
  <si>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</si>
  <si>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</si>
  <si>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</si>
  <si>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</si>
  <si>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</si>
  <si>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</si>
  <si>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</si>
  <si>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</si>
  <si>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</si>
  <si>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</si>
  <si>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</si>
  <si>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</si>
  <si>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</si>
  <si>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</si>
  <si>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</si>
  <si>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</si>
  <si>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</si>
  <si>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</si>
  <si>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</si>
  <si>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</si>
  <si>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</si>
  <si>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</si>
  <si>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</si>
  <si>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</si>
  <si>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</si>
  <si>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</si>
  <si>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</si>
  <si>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</si>
  <si>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</si>
  <si>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</si>
  <si>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</si>
  <si>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</si>
  <si>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</si>
  <si>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</si>
  <si>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</si>
  <si>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</si>
  <si>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</si>
  <si>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</si>
  <si>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</si>
  <si>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</si>
  <si>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</si>
  <si>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</si>
  <si>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</si>
  <si>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</si>
  <si>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</si>
  <si>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</si>
  <si>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</si>
  <si>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</si>
  <si>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</si>
  <si>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</si>
  <si>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</si>
  <si>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</si>
  <si>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</si>
  <si>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</si>
  <si>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</si>
  <si>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</si>
  <si>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</si>
  <si>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</si>
  <si>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</si>
  <si>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</si>
  <si>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</si>
  <si>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</si>
  <si>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</si>
  <si>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</si>
  <si>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</si>
  <si>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</si>
  <si>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</si>
  <si>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</si>
  <si>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</si>
  <si>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</si>
  <si>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</si>
  <si>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</si>
  <si>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</si>
  <si>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</si>
  <si>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</si>
  <si>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</si>
  <si>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</si>
  <si>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</si>
  <si>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</si>
  <si>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</si>
  <si>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</si>
  <si>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</si>
  <si>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</si>
  <si>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</si>
  <si>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</si>
  <si>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</si>
  <si>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</si>
  <si>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</si>
  <si>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</si>
  <si>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</si>
  <si>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</si>
  <si>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</si>
  <si>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</si>
  <si>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</si>
  <si>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</si>
  <si>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</si>
  <si>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</si>
  <si>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</si>
  <si>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</si>
  <si>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</si>
  <si>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</si>
  <si>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</si>
  <si>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</si>
  <si>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</si>
  <si>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</si>
  <si>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</si>
  <si>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</si>
  <si>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</si>
  <si>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</si>
  <si>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</si>
  <si>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</si>
  <si>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</si>
  <si>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</si>
  <si>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</si>
  <si>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</si>
  <si>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</si>
  <si>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</si>
  <si>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</si>
  <si>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</si>
  <si>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</si>
  <si>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</si>
  <si>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</si>
  <si>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</si>
  <si>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</si>
  <si>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</si>
  <si>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</si>
  <si>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</si>
  <si>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</si>
  <si>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</si>
  <si>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</si>
  <si>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</si>
  <si>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</si>
  <si>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</si>
  <si>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</si>
  <si>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</si>
  <si>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</si>
  <si>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</si>
  <si>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</si>
  <si>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</si>
  <si>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</si>
  <si>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</si>
  <si>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</si>
  <si>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</si>
  <si>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</si>
  <si>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</si>
  <si>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</si>
  <si>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</si>
  <si>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</si>
  <si>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</si>
  <si>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</si>
  <si>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</si>
  <si>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</si>
  <si>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</si>
  <si>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</si>
  <si>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</si>
  <si>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</si>
  <si>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</si>
  <si>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</si>
  <si>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</si>
  <si>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</si>
  <si>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</si>
  <si>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</si>
  <si>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</si>
  <si>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</si>
  <si>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</si>
  <si>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</si>
  <si>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</si>
  <si>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</si>
  <si>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</si>
  <si>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</si>
  <si>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</si>
  <si>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</si>
  <si>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</si>
  <si>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</si>
  <si>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</si>
  <si>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</si>
  <si>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</si>
  <si>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</si>
  <si>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</si>
  <si>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</si>
  <si>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</si>
  <si>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</si>
  <si>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</si>
  <si>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</si>
  <si>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</si>
  <si>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</si>
  <si>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</si>
  <si>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</si>
  <si>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</si>
  <si>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</si>
  <si>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</si>
  <si>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</si>
  <si>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</si>
  <si>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</si>
  <si>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</si>
  <si>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</si>
  <si>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</si>
  <si>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</si>
  <si>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</si>
  <si>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</si>
  <si>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</si>
  <si>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</si>
  <si>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</si>
  <si>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</si>
  <si>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</si>
  <si>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</si>
  <si>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</si>
  <si>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</si>
  <si>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</si>
  <si>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</si>
  <si>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</si>
  <si>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</si>
  <si>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</si>
  <si>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</si>
  <si>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</si>
  <si>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</si>
  <si>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</si>
  <si>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</si>
  <si>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</si>
  <si>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</si>
  <si>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</si>
  <si>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</si>
  <si>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</si>
  <si>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</si>
  <si>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</si>
  <si>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</si>
  <si>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</si>
  <si>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</si>
  <si>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</si>
  <si>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</si>
  <si>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</si>
  <si>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</si>
  <si>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</si>
  <si>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</si>
  <si>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</si>
  <si>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</si>
  <si>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</si>
  <si>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</si>
  <si>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</si>
  <si>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</si>
  <si>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</si>
  <si>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</si>
  <si>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</si>
  <si>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</si>
  <si>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</si>
  <si>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</si>
  <si>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</si>
  <si>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</si>
  <si>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</si>
  <si>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</si>
  <si>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</si>
  <si>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</si>
  <si>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</si>
  <si>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</si>
  <si>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</si>
  <si>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</si>
  <si>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</si>
  <si>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</si>
  <si>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</si>
  <si>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</si>
  <si>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</si>
  <si>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</si>
  <si>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</si>
  <si>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</si>
  <si>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</si>
  <si>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</si>
  <si>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</si>
  <si>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</si>
  <si>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</si>
  <si>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</si>
  <si>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</si>
  <si>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</si>
  <si>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</si>
  <si>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</si>
  <si>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</si>
  <si>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</si>
  <si>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</si>
  <si>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</si>
  <si>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</si>
  <si>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</si>
  <si>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</si>
  <si>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</si>
  <si>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</si>
  <si>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</si>
  <si>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</si>
  <si>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</si>
  <si>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</si>
  <si>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</si>
  <si>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</si>
  <si>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</si>
  <si>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</si>
  <si>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</si>
  <si>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</si>
  <si>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</si>
  <si>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</si>
  <si>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</si>
  <si>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</si>
  <si>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</si>
  <si>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</si>
  <si>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</si>
  <si>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</si>
  <si>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</si>
  <si>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</si>
  <si>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</si>
  <si>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</si>
  <si>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</si>
  <si>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</si>
  <si>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</si>
  <si>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</si>
  <si>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</si>
  <si>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</si>
  <si>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</si>
  <si>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</si>
  <si>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</si>
  <si>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</si>
  <si>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</si>
  <si>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</si>
  <si>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</si>
  <si>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</si>
  <si>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</si>
  <si>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</si>
  <si>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</si>
  <si>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</si>
  <si>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</si>
  <si>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</si>
  <si>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</si>
  <si>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</si>
  <si>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</si>
  <si>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</si>
  <si>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</si>
  <si>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</si>
  <si>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</si>
  <si>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</si>
  <si>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</si>
  <si>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</si>
  <si>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</si>
  <si>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</si>
  <si>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</si>
  <si>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</si>
  <si>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</si>
  <si>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</si>
  <si>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</si>
  <si>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</si>
  <si>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</si>
  <si>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</si>
  <si>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</si>
  <si>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</si>
  <si>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</si>
  <si>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</si>
  <si>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</si>
  <si>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</si>
  <si>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</si>
  <si>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</si>
  <si>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</si>
  <si>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</si>
  <si>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</si>
  <si>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</si>
  <si>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</si>
  <si>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</si>
  <si>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</si>
  <si>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</si>
  <si>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</si>
  <si>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</si>
  <si>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</si>
  <si>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</si>
  <si>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</si>
  <si>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</si>
  <si>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</si>
  <si>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</si>
  <si>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</si>
  <si>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</si>
  <si>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</si>
  <si>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</si>
  <si>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</si>
  <si>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</si>
  <si>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</si>
  <si>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</si>
  <si>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</si>
  <si>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</si>
  <si>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</si>
  <si>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</si>
  <si>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</si>
  <si>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</si>
  <si>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</si>
  <si>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</si>
  <si>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</si>
  <si>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</si>
  <si>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</si>
  <si>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</si>
  <si>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</si>
  <si>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</si>
  <si>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</si>
  <si>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</si>
  <si>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</si>
  <si>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</si>
  <si>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</si>
  <si>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</si>
  <si>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</si>
  <si>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</si>
  <si>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</si>
  <si>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</si>
  <si>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</si>
  <si>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</si>
  <si>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</si>
  <si>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</si>
  <si>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</si>
  <si>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</si>
  <si>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</si>
  <si>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</si>
  <si>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</si>
  <si>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</si>
  <si>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</si>
  <si>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</si>
  <si>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</si>
  <si>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</si>
  <si>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</si>
  <si>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</si>
  <si>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</si>
  <si>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</si>
  <si>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</si>
  <si>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</si>
  <si>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</si>
  <si>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</si>
  <si>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</si>
  <si>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</si>
  <si>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</si>
  <si>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</si>
  <si>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</si>
  <si>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</si>
  <si>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</si>
  <si>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</si>
  <si>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</si>
  <si>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</si>
  <si>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</si>
  <si>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</si>
  <si>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</si>
  <si>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</si>
  <si>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</si>
  <si>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</si>
  <si>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</si>
  <si>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</si>
  <si>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</si>
  <si>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</si>
  <si>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</si>
  <si>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</si>
  <si>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</si>
  <si>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</si>
  <si>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</si>
  <si>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</si>
  <si>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</si>
  <si>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</si>
  <si>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</si>
  <si>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</si>
  <si>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</si>
  <si>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</si>
  <si>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</si>
  <si>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</si>
  <si>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</si>
  <si>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</si>
  <si>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</si>
  <si>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</si>
  <si>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</si>
  <si>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</si>
  <si>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</si>
  <si>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</si>
  <si>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</si>
  <si>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</si>
  <si>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</si>
  <si>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</si>
  <si>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</si>
  <si>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</si>
  <si>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</si>
  <si>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</si>
  <si>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</si>
  <si>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</si>
  <si>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</si>
  <si>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</si>
  <si>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</si>
  <si>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</si>
  <si>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</si>
  <si>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</si>
  <si>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</si>
  <si>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</si>
  <si>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</si>
  <si>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</si>
  <si>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</si>
  <si>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</si>
  <si>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</si>
  <si>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</si>
  <si>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</si>
  <si>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</si>
  <si>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</si>
  <si>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</si>
  <si>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</si>
  <si>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</si>
  <si>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</si>
  <si>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</si>
  <si>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</si>
  <si>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</si>
  <si>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</si>
  <si>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</si>
  <si>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</si>
  <si>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</si>
  <si>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</si>
  <si>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</si>
  <si>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</si>
  <si>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</si>
  <si>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</si>
  <si>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</si>
  <si>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</si>
  <si>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</si>
  <si>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</si>
  <si>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</si>
  <si>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</si>
  <si>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</si>
  <si>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</si>
  <si>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</si>
  <si>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</si>
  <si>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</si>
  <si>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</si>
  <si>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</si>
  <si>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</si>
  <si>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</si>
  <si>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</si>
  <si>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</si>
  <si>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</si>
  <si>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</si>
  <si>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</si>
  <si>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</si>
  <si>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</si>
  <si>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</si>
  <si>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</si>
  <si>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</si>
  <si>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</si>
  <si>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</si>
  <si>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</si>
  <si>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</si>
  <si>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</si>
  <si>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</si>
  <si>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</si>
  <si>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</si>
  <si>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</si>
  <si>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</si>
  <si>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</si>
  <si>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</si>
  <si>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</si>
  <si>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</si>
  <si>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</si>
  <si>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</si>
  <si>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</si>
  <si>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</si>
  <si>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</si>
  <si>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</si>
  <si>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</si>
  <si>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</si>
  <si>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</si>
  <si>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</si>
  <si>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</si>
  <si>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</si>
  <si>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</si>
  <si>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</si>
  <si>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</si>
  <si>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</si>
  <si>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</si>
  <si>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</si>
  <si>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</si>
  <si>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</si>
  <si>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</si>
  <si>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</si>
  <si>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</si>
  <si>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</si>
  <si>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</si>
  <si>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</si>
  <si>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</si>
  <si>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</si>
  <si>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</si>
  <si>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</si>
  <si>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</si>
  <si>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</si>
  <si>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</si>
  <si>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</si>
  <si>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</si>
  <si>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</si>
  <si>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</si>
  <si>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</si>
  <si>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</si>
  <si>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</si>
  <si>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</si>
  <si>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</si>
  <si>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</si>
  <si>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</si>
  <si>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</si>
  <si>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</si>
  <si>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</si>
  <si>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</si>
  <si>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</si>
  <si>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</si>
  <si>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</si>
  <si>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</si>
  <si>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</si>
  <si>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</si>
  <si>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</si>
  <si>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</si>
  <si>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</si>
  <si>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</si>
  <si>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</si>
  <si>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</si>
  <si>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</si>
  <si>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</si>
  <si>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</si>
  <si>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</si>
  <si>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</si>
  <si>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</si>
  <si>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</si>
  <si>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</si>
  <si>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</si>
  <si>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</si>
  <si>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</si>
  <si>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</si>
  <si>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</si>
  <si>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</si>
  <si>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</si>
  <si>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</si>
  <si>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</si>
  <si>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</si>
  <si>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</si>
  <si>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</si>
  <si>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</si>
  <si>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</si>
  <si>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</si>
  <si>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</si>
  <si>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</si>
  <si>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</si>
  <si>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</si>
  <si>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</si>
  <si>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</si>
  <si>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</si>
  <si>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</si>
  <si>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</si>
  <si>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</si>
  <si>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</si>
  <si>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</si>
  <si>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</si>
  <si>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</si>
  <si>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</si>
  <si>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</si>
  <si>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</si>
  <si>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</si>
  <si>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</si>
  <si>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</si>
  <si>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</si>
  <si>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</si>
  <si>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</si>
  <si>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</si>
  <si>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</si>
  <si>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</si>
  <si>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</si>
  <si>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</si>
  <si>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</si>
  <si>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</si>
  <si>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</si>
  <si>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</si>
  <si>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</si>
  <si>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</si>
  <si>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</si>
  <si>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</si>
  <si>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</si>
  <si>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</si>
  <si>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</si>
  <si>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</si>
  <si>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</si>
  <si>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</si>
  <si>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</si>
  <si>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</si>
  <si>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</si>
  <si>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</si>
  <si>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</si>
  <si>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</si>
  <si>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</si>
  <si>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</si>
  <si>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</si>
  <si>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</si>
  <si>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</si>
  <si>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</si>
  <si>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</si>
  <si>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</si>
  <si>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</si>
  <si>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</si>
  <si>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</si>
  <si>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</si>
  <si>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</si>
  <si>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</si>
  <si>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</si>
  <si>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</si>
  <si>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</si>
  <si>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</si>
  <si>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</si>
  <si>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</si>
  <si>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</si>
  <si>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</si>
  <si>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</si>
  <si>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</si>
  <si>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</si>
  <si>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</si>
  <si>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</si>
  <si>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</si>
  <si>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</si>
  <si>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</si>
  <si>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</si>
  <si>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</si>
  <si>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</si>
  <si>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</si>
  <si>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</si>
  <si>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</si>
  <si>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</si>
  <si>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</si>
  <si>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</si>
  <si>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</si>
  <si>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</si>
  <si>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</si>
  <si>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</si>
  <si>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</si>
  <si>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</si>
  <si>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</si>
  <si>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</si>
  <si>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</si>
  <si>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</si>
  <si>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</si>
  <si>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</si>
  <si>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</si>
  <si>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</si>
  <si>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</si>
  <si>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</si>
  <si>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</si>
  <si>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</si>
  <si>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</si>
  <si>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</si>
  <si>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</si>
  <si>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</si>
  <si>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</si>
  <si>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</si>
  <si>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</si>
  <si>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</si>
  <si>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</si>
  <si>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</si>
  <si>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</si>
  <si>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</si>
  <si>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</si>
  <si>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</si>
  <si>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</si>
  <si>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</si>
  <si>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</si>
  <si>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</si>
  <si>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</si>
  <si>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</si>
  <si>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</si>
  <si>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</si>
  <si>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</si>
  <si>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</si>
  <si>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</si>
  <si>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</si>
  <si>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</si>
  <si>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</si>
  <si>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</si>
  <si>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</si>
  <si>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</si>
  <si>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</si>
  <si>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</si>
  <si>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</si>
  <si>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</si>
  <si>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</si>
  <si>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</si>
  <si>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</si>
  <si>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</si>
  <si>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</si>
  <si>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</si>
  <si>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</si>
  <si>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</si>
  <si>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</si>
  <si>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</si>
  <si>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</si>
  <si>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</si>
  <si>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</si>
  <si>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</si>
  <si>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</si>
  <si>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</si>
  <si>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</si>
  <si>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</si>
  <si>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</si>
  <si>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</si>
  <si>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</si>
  <si>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</si>
  <si>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</si>
  <si>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</si>
  <si>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</si>
  <si>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</si>
  <si>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</si>
  <si>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</si>
  <si>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</si>
  <si>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</si>
  <si>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</si>
  <si>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</si>
  <si>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</si>
  <si>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</si>
  <si>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</si>
  <si>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</si>
  <si>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</si>
  <si>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</si>
  <si>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</si>
  <si>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</si>
  <si>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</si>
  <si>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</si>
  <si>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</si>
  <si>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</si>
  <si>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</si>
  <si>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</si>
  <si>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</si>
  <si>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</si>
  <si>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</si>
  <si>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</si>
  <si>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</si>
  <si>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</si>
  <si>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</si>
  <si>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</si>
  <si>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</si>
  <si>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</si>
  <si>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</si>
  <si>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</si>
  <si>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</si>
  <si>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</si>
  <si>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</si>
  <si>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</si>
  <si>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</si>
  <si>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</si>
  <si>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</si>
  <si>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</si>
  <si>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</si>
  <si>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</si>
  <si>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</si>
  <si>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</si>
  <si>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</si>
  <si>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</si>
  <si>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</si>
  <si>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</si>
  <si>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</si>
  <si>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</si>
  <si>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</si>
  <si>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</si>
  <si>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</si>
  <si>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</si>
  <si>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</si>
  <si>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</si>
  <si>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</si>
  <si>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</si>
  <si>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</si>
  <si>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</si>
  <si>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</si>
  <si>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</si>
  <si>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</si>
  <si>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</si>
  <si>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</si>
  <si>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</si>
  <si>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</si>
  <si>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</si>
  <si>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</si>
  <si>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</si>
  <si>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</si>
  <si>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</si>
  <si>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</si>
  <si>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</si>
  <si>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</si>
  <si>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</si>
  <si>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</si>
  <si>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</si>
  <si>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</si>
  <si>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</si>
  <si>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</si>
  <si>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</si>
  <si>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</si>
  <si>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</si>
  <si>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</si>
  <si>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</si>
  <si>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</si>
  <si>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</si>
  <si>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</si>
  <si>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</si>
  <si>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</si>
  <si>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</si>
  <si>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</si>
  <si>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</si>
  <si>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</si>
  <si>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</si>
  <si>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</si>
  <si>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</si>
  <si>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</si>
  <si>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</si>
  <si>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</si>
  <si>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</si>
  <si>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</si>
  <si>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</si>
  <si>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</si>
  <si>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</si>
  <si>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</si>
  <si>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</si>
  <si>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</si>
  <si>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</si>
  <si>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</si>
  <si>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</si>
  <si>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</si>
  <si>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</si>
  <si>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</si>
  <si>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</si>
  <si>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</si>
  <si>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</si>
  <si>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</si>
  <si>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</si>
  <si>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</si>
  <si>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</si>
  <si>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</si>
  <si>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</si>
  <si>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</si>
  <si>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</si>
  <si>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</si>
  <si>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</si>
  <si>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</si>
  <si>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</si>
  <si>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</si>
  <si>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</si>
  <si>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</si>
  <si>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</si>
  <si>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</si>
  <si>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</si>
  <si>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</si>
  <si>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</si>
  <si>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</si>
  <si>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</si>
  <si>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</si>
  <si>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</si>
  <si>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</si>
  <si>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</si>
  <si>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</si>
  <si>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</si>
  <si>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</si>
  <si>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</si>
  <si>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</si>
  <si>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</si>
  <si>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</si>
  <si>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</si>
  <si>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</si>
  <si>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</si>
  <si>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</si>
  <si>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</si>
  <si>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</si>
  <si>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</si>
  <si>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</si>
  <si>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</si>
  <si>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</si>
  <si>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</si>
  <si>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</si>
  <si>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</si>
  <si>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</si>
  <si>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</si>
  <si>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</si>
  <si>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</si>
  <si>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</si>
  <si>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</si>
  <si>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</si>
  <si>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</si>
  <si>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</si>
  <si>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</si>
  <si>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</si>
  <si>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</si>
  <si>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</si>
  <si>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</si>
  <si>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</si>
  <si>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</si>
  <si>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</si>
  <si>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</si>
  <si>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</si>
  <si>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</si>
  <si>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</si>
  <si>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</si>
  <si>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</si>
  <si>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</si>
  <si>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</si>
  <si>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</si>
  <si>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</si>
  <si>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</si>
  <si>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</si>
  <si>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</si>
  <si>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</si>
  <si>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</si>
  <si>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</si>
  <si>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</si>
  <si>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</si>
  <si>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</si>
  <si>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</si>
  <si>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</si>
  <si>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</si>
  <si>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</si>
  <si>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</si>
  <si>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</si>
  <si>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</si>
  <si>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</si>
  <si>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</si>
  <si>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</si>
  <si>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</si>
  <si>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</si>
  <si>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</si>
  <si>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</si>
  <si>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</si>
  <si>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</si>
  <si>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</si>
  <si>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</si>
  <si>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</si>
  <si>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</si>
  <si>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</si>
  <si>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</si>
  <si>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</si>
  <si>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</si>
  <si>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</si>
  <si>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</si>
  <si>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</si>
  <si>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</si>
  <si>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</si>
  <si>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</si>
  <si>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</si>
  <si>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</si>
  <si>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</si>
  <si>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</si>
  <si>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</si>
  <si>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</si>
  <si>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</si>
  <si>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</si>
  <si>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</si>
  <si>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</si>
  <si>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</si>
  <si>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</si>
  <si>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</si>
  <si>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</si>
  <si>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</si>
  <si>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</si>
  <si>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</si>
  <si>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</si>
  <si>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</si>
  <si>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</si>
  <si>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</si>
  <si>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</si>
  <si>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</si>
  <si>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</si>
  <si>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</si>
  <si>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</si>
  <si>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</si>
  <si>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</si>
  <si>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</si>
  <si>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</si>
  <si>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</si>
  <si>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</si>
  <si>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</si>
  <si>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</si>
  <si>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</si>
  <si>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</si>
  <si>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</si>
  <si>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</si>
  <si>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</si>
  <si>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</si>
  <si>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</si>
  <si>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</si>
  <si>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</si>
  <si>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</si>
  <si>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</si>
  <si>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</si>
  <si>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</si>
  <si>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</si>
  <si>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</si>
  <si>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</si>
  <si>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</si>
  <si>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</si>
  <si>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</si>
  <si>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</si>
  <si>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</si>
  <si>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</si>
  <si>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</si>
  <si>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</si>
  <si>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</si>
  <si>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</si>
  <si>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</si>
  <si>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</si>
  <si>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</si>
  <si>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</si>
  <si>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</si>
  <si>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</si>
  <si>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</si>
  <si>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</si>
  <si>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</si>
  <si>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</si>
  <si>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</si>
  <si>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</si>
  <si>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</si>
  <si>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</si>
  <si>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</si>
  <si>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</si>
  <si>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</si>
  <si>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</si>
  <si>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</si>
  <si>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</si>
  <si>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</si>
  <si>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</si>
  <si>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</si>
  <si>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</si>
  <si>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</si>
  <si>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</si>
  <si>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</si>
  <si>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</si>
  <si>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</si>
  <si>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</si>
  <si>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</si>
  <si>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</si>
  <si>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</si>
  <si>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</si>
  <si>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</si>
  <si>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</si>
  <si>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</si>
  <si>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</si>
  <si>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</si>
  <si>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</si>
  <si>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</si>
  <si>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</si>
  <si>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</si>
  <si>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</si>
  <si>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</si>
  <si>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</si>
  <si>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</si>
  <si>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</si>
  <si>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</si>
  <si>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</si>
  <si>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</si>
  <si>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</si>
  <si>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</si>
  <si>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</si>
  <si>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</si>
  <si>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</si>
  <si>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</si>
  <si>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</si>
  <si>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</si>
  <si>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</si>
  <si>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</si>
  <si>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</si>
  <si>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</si>
  <si>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</si>
  <si>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</si>
  <si>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</si>
  <si>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</si>
  <si>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</si>
  <si>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</si>
  <si>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</si>
  <si>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</si>
  <si>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</si>
  <si>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</si>
  <si>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</si>
  <si>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</si>
  <si>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</si>
  <si>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</si>
  <si>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</si>
  <si>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</si>
  <si>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</si>
  <si>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</si>
  <si>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</si>
  <si>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</si>
  <si>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</si>
  <si>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</si>
  <si>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</si>
  <si>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</si>
  <si>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</si>
  <si>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</si>
  <si>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</si>
  <si>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</si>
  <si>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</si>
  <si>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</si>
  <si>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</si>
  <si>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</si>
  <si>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</si>
  <si>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</si>
  <si>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</si>
  <si>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</si>
  <si>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</si>
  <si>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</si>
  <si>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</si>
  <si>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</si>
  <si>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</si>
  <si>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</si>
  <si>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</si>
  <si>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</si>
  <si>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</si>
  <si>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</si>
  <si>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</si>
  <si>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</si>
  <si>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</si>
  <si>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</si>
  <si>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</si>
  <si>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</si>
  <si>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</si>
  <si>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</si>
  <si>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</si>
  <si>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</si>
  <si>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</si>
  <si>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</si>
  <si>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</si>
  <si>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</si>
  <si>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</si>
  <si>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</si>
  <si>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</si>
  <si>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</si>
  <si>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</si>
  <si>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</si>
  <si>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</si>
  <si>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</si>
  <si>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</si>
  <si>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</si>
  <si>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</si>
  <si>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</si>
  <si>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</si>
  <si>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</si>
  <si>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</si>
  <si>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</si>
  <si>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</si>
  <si>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</si>
  <si>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</si>
  <si>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</si>
  <si>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</si>
  <si>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</si>
  <si>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</si>
  <si>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</si>
  <si>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</si>
  <si>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</si>
  <si>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</si>
  <si>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</si>
  <si>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</si>
  <si>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</si>
  <si>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</si>
  <si>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</si>
  <si>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</si>
  <si>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</si>
  <si>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</si>
  <si>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</si>
  <si>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</si>
  <si>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</si>
  <si>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</si>
  <si>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</si>
  <si>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</si>
  <si>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</si>
  <si>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</si>
  <si>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</si>
  <si>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</si>
  <si>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</si>
  <si>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</si>
  <si>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</si>
  <si>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</si>
  <si>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</si>
  <si>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</si>
  <si>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</si>
  <si>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</si>
  <si>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</si>
  <si>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</si>
  <si>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</si>
  <si>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</si>
  <si>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</si>
  <si>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</si>
  <si>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</si>
  <si>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</si>
  <si>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</si>
  <si>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</si>
  <si>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</si>
  <si>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</si>
  <si>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</si>
  <si>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</si>
  <si>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</si>
  <si>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</si>
  <si>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</si>
  <si>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</si>
  <si>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</si>
  <si>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</si>
  <si>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</si>
  <si>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</si>
  <si>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</si>
  <si>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</si>
  <si>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</si>
  <si>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</si>
  <si>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</si>
  <si>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</si>
  <si>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</si>
  <si>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</si>
  <si>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</si>
  <si>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</si>
  <si>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</si>
  <si>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</si>
  <si>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</si>
  <si>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</si>
  <si>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</si>
  <si>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</si>
  <si>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</si>
  <si>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</si>
  <si>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</si>
  <si>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</si>
  <si>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</si>
  <si>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</si>
  <si>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</si>
  <si>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</si>
  <si>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</si>
  <si>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</si>
  <si>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</si>
  <si>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</si>
  <si>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</si>
  <si>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</si>
  <si>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</si>
  <si>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</si>
  <si>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</si>
  <si>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</si>
  <si>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</si>
  <si>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</si>
  <si>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</si>
  <si>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</si>
  <si>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</si>
  <si>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</si>
  <si>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</si>
  <si>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</si>
  <si>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</si>
  <si>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</si>
  <si>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</si>
  <si>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</si>
  <si>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</si>
  <si>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</si>
  <si>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</si>
  <si>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</si>
  <si>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</si>
  <si>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</si>
  <si>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</si>
  <si>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</si>
  <si>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</si>
  <si>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</si>
  <si>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</si>
  <si>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</si>
  <si>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</si>
  <si>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</si>
  <si>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</si>
  <si>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</si>
  <si>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</si>
  <si>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</si>
  <si>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</si>
  <si>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</si>
  <si>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</si>
  <si>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</si>
  <si>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</si>
  <si>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</si>
  <si>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</si>
  <si>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</si>
  <si>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</si>
  <si>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</si>
  <si>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</si>
  <si>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</si>
  <si>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</si>
  <si>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</si>
  <si>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</si>
  <si>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</si>
  <si>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</si>
  <si>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</si>
  <si>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</si>
  <si>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</si>
  <si>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</si>
  <si>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</si>
  <si>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</si>
  <si>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</si>
  <si>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</si>
  <si>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</si>
  <si>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</si>
  <si>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</si>
  <si>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</si>
  <si>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</si>
  <si>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</si>
  <si>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</si>
  <si>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</si>
  <si>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</si>
  <si>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</si>
  <si>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</si>
  <si>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</si>
  <si>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</si>
  <si>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</si>
  <si>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</si>
  <si>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</si>
  <si>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</si>
  <si>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</si>
  <si>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</si>
  <si>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</si>
  <si>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</si>
  <si>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</si>
  <si>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</si>
  <si>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</si>
  <si>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</si>
  <si>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</si>
  <si>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</si>
  <si>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</si>
  <si>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</si>
  <si>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</si>
  <si>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</si>
  <si>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</si>
  <si>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</si>
  <si>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</si>
  <si>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</si>
  <si>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</si>
  <si>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</si>
  <si>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</si>
  <si>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</si>
  <si>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</si>
  <si>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</si>
  <si>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</si>
  <si>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</si>
  <si>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</si>
  <si>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</si>
  <si>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</si>
  <si>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</si>
  <si>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</si>
  <si>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</si>
  <si>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</si>
  <si>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</si>
  <si>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</si>
  <si>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</si>
  <si>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</si>
  <si>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</si>
  <si>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</si>
  <si>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</si>
  <si>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</si>
  <si>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</si>
  <si>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</si>
  <si>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</si>
  <si>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</si>
  <si>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</si>
  <si>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</si>
  <si>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</si>
  <si>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</si>
  <si>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</si>
  <si>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</si>
  <si>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</si>
  <si>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</si>
  <si>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</si>
  <si>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</si>
  <si>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</si>
  <si>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</si>
  <si>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</si>
  <si>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</si>
  <si>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</si>
  <si>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</si>
  <si>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</si>
  <si>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</si>
  <si>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</si>
  <si>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</si>
  <si>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</si>
  <si>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</si>
  <si>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</si>
  <si>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</si>
  <si>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</si>
  <si>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</si>
  <si>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</si>
  <si>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</si>
  <si>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</si>
  <si>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</si>
  <si>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</si>
  <si>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</si>
  <si>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</si>
  <si>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</si>
  <si>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</si>
  <si>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</si>
  <si>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</si>
  <si>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</si>
  <si>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</si>
  <si>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</si>
  <si>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</si>
  <si>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</si>
  <si>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</si>
  <si>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</si>
  <si>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</si>
  <si>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</si>
  <si>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</si>
  <si>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</si>
  <si>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</si>
  <si>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</si>
  <si>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</si>
  <si>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</si>
  <si>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</si>
  <si>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</si>
  <si>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</si>
  <si>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</si>
  <si>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</si>
  <si>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</si>
  <si>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</si>
  <si>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</si>
  <si>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</si>
  <si>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</si>
  <si>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</si>
  <si>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</si>
  <si>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</si>
  <si>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</si>
  <si>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</si>
  <si>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</si>
  <si>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</si>
  <si>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</si>
  <si>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</si>
  <si>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</si>
  <si>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</si>
  <si>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</si>
  <si>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</si>
  <si>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</si>
  <si>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</si>
  <si>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</si>
  <si>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</si>
  <si>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</si>
  <si>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</si>
  <si>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</si>
  <si>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</si>
  <si>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</si>
  <si>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</si>
  <si>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</si>
  <si>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</si>
  <si>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</si>
  <si>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</si>
  <si>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</si>
  <si>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</si>
  <si>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</si>
  <si>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</si>
  <si>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</si>
  <si>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</si>
  <si>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</si>
  <si>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</si>
  <si>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</si>
  <si>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</si>
  <si>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</si>
  <si>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</si>
  <si>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</si>
  <si>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</si>
  <si>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</si>
  <si>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</si>
  <si>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</si>
  <si>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</si>
  <si>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</si>
  <si>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</si>
  <si>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</si>
  <si>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</si>
  <si>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</si>
  <si>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</si>
  <si>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</si>
  <si>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</si>
  <si>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</si>
  <si>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</si>
  <si>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</si>
  <si>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</si>
  <si>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</si>
  <si>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</si>
  <si>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</si>
  <si>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</si>
  <si>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</si>
  <si>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</si>
  <si>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</si>
  <si>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</si>
  <si>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</si>
  <si>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</si>
  <si>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</si>
  <si>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</si>
  <si>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</si>
  <si>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</si>
  <si>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</si>
  <si>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</si>
  <si>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</si>
  <si>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</si>
  <si>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</si>
  <si>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</si>
  <si>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</si>
  <si>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</si>
  <si>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</si>
  <si>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</si>
  <si>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</si>
  <si>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</si>
  <si>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</si>
  <si>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</si>
  <si>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</si>
  <si>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</si>
  <si>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</si>
  <si>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</si>
  <si>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</si>
  <si>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</si>
  <si>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</si>
  <si>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</si>
  <si>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</si>
  <si>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</si>
  <si>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</si>
  <si>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</si>
  <si>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</si>
  <si>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</si>
  <si>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</si>
  <si>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</si>
  <si>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</si>
  <si>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</si>
  <si>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</si>
  <si>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</si>
  <si>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</si>
  <si>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</si>
  <si>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</si>
  <si>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</si>
  <si>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</si>
  <si>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</si>
  <si>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</si>
  <si>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</si>
  <si>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</si>
  <si>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</si>
  <si>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</si>
  <si>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</si>
  <si>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</si>
  <si>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</si>
  <si>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</si>
  <si>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</si>
  <si>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</si>
  <si>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</si>
  <si>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</si>
  <si>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</si>
  <si>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</si>
  <si>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</si>
  <si>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</si>
  <si>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</si>
  <si>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</si>
  <si>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</si>
  <si>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</si>
  <si>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</si>
  <si>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</si>
  <si>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</si>
  <si>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</si>
  <si>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</si>
  <si>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</si>
  <si>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</si>
  <si>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</si>
  <si>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</si>
  <si>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</si>
  <si>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</si>
  <si>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</si>
  <si>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</si>
  <si>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</si>
  <si>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</si>
  <si>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</si>
  <si>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</si>
  <si>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</si>
  <si>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</si>
  <si>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</si>
  <si>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</si>
  <si>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</si>
  <si>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</si>
  <si>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</si>
  <si>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</si>
  <si>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</si>
  <si>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</si>
  <si>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</si>
  <si>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</si>
  <si>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</si>
  <si>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</si>
  <si>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</si>
  <si>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</si>
  <si>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</si>
  <si>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</si>
  <si>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</si>
  <si>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</si>
  <si>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</si>
  <si>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</si>
  <si>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</si>
  <si>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</si>
  <si>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</si>
  <si>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</si>
  <si>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</si>
  <si>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</si>
  <si>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</si>
  <si>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</si>
  <si>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</si>
  <si>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</si>
  <si>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</si>
  <si>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</si>
  <si>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</si>
  <si>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</si>
  <si>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</si>
  <si>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</si>
  <si>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</si>
  <si>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</si>
  <si>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</si>
  <si>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</si>
  <si>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</si>
  <si>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</si>
  <si>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</si>
  <si>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</si>
  <si>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</si>
  <si>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</si>
  <si>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</si>
  <si>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</si>
  <si>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</si>
  <si>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</si>
  <si>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</si>
  <si>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</si>
  <si>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</si>
  <si>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</si>
  <si>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</si>
  <si>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</si>
  <si>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</si>
  <si>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</si>
  <si>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</si>
  <si>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</si>
  <si>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</si>
  <si>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</si>
  <si>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</si>
  <si>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</si>
  <si>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</si>
  <si>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</si>
  <si>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</si>
  <si>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</si>
  <si>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</si>
  <si>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</si>
  <si>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</si>
  <si>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</si>
  <si>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</si>
  <si>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</si>
  <si>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</si>
  <si>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</si>
  <si>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</si>
  <si>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</si>
  <si>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</si>
  <si>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</si>
  <si>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</si>
  <si>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</si>
  <si>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</si>
  <si>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</si>
  <si>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</si>
  <si>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</si>
  <si>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</si>
  <si>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</si>
  <si>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</si>
  <si>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</si>
  <si>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</si>
  <si>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</si>
  <si>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</si>
  <si>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</si>
  <si>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</si>
  <si>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</si>
  <si>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</si>
  <si>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</si>
  <si>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</si>
  <si>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</si>
  <si>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</si>
  <si>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</si>
  <si>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</si>
  <si>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</si>
  <si>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</si>
  <si>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</si>
  <si>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</si>
  <si>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</si>
  <si>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</si>
  <si>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</si>
  <si>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</si>
  <si>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</si>
  <si>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</si>
  <si>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</si>
  <si>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</si>
  <si>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</si>
  <si>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</si>
  <si>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</si>
  <si>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</si>
  <si>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</si>
  <si>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</si>
  <si>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</si>
  <si>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</si>
  <si>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</si>
  <si>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</si>
  <si>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</si>
  <si>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</si>
  <si>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</si>
  <si>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</si>
  <si>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</si>
  <si>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</si>
  <si>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</si>
  <si>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</si>
  <si>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</si>
  <si>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</si>
  <si>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</si>
  <si>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</si>
  <si>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</si>
  <si>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</si>
  <si>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</si>
  <si>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</si>
  <si>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</si>
  <si>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</si>
  <si>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</si>
  <si>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</si>
  <si>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</si>
  <si>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</si>
  <si>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</si>
  <si>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</si>
  <si>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</si>
  <si>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</si>
  <si>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</si>
  <si>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</si>
  <si>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</si>
  <si>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</si>
  <si>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</si>
  <si>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</si>
  <si>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</si>
  <si>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</si>
  <si>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</si>
  <si>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</si>
  <si>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</si>
  <si>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</si>
  <si>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</si>
  <si>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</si>
  <si>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</si>
  <si>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</si>
  <si>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</si>
  <si>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</si>
  <si>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</si>
  <si>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</si>
  <si>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</si>
  <si>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</si>
  <si>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</si>
  <si>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</si>
  <si>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</si>
  <si>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</si>
  <si>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</si>
  <si>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</si>
  <si>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</si>
  <si>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</si>
  <si>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</si>
  <si>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</si>
  <si>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</si>
  <si>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</si>
  <si>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</si>
  <si>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</si>
  <si>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</si>
  <si>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</si>
  <si>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</si>
  <si>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</si>
  <si>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</si>
  <si>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</si>
  <si>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</si>
  <si>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</si>
  <si>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</si>
  <si>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</si>
  <si>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</si>
  <si>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</si>
  <si>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</si>
  <si>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</si>
  <si>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</si>
  <si>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</si>
  <si>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</si>
  <si>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</si>
  <si>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</si>
  <si>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</si>
  <si>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</si>
  <si>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</si>
  <si>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</si>
  <si>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</si>
  <si>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</si>
  <si>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</si>
  <si>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</si>
  <si>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</si>
  <si>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</si>
  <si>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</si>
  <si>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</si>
  <si>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</si>
  <si>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</si>
  <si>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</si>
  <si>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</si>
  <si>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</si>
  <si>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</si>
  <si>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</si>
  <si>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</si>
  <si>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</si>
  <si>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</si>
  <si>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</si>
  <si>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</si>
  <si>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</si>
  <si>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</si>
  <si>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</si>
  <si>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</si>
  <si>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</si>
  <si>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</si>
  <si>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</si>
  <si>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</si>
  <si>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</si>
  <si>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</si>
  <si>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</si>
  <si>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</si>
  <si>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</si>
  <si>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</si>
  <si>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</si>
  <si>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</si>
  <si>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</si>
  <si>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</si>
  <si>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</si>
  <si>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</si>
  <si>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</si>
  <si>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</si>
  <si>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</si>
  <si>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</si>
  <si>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</si>
  <si>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</si>
  <si>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</si>
  <si>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</si>
  <si>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</si>
  <si>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</si>
  <si>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</si>
  <si>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</si>
  <si>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</si>
  <si>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</si>
  <si>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</si>
  <si>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</si>
  <si>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</si>
  <si>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</si>
  <si>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</si>
  <si>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</si>
  <si>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</si>
  <si>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</si>
  <si>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</si>
  <si>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</si>
  <si>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</si>
  <si>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</si>
  <si>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</si>
  <si>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</si>
  <si>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</si>
  <si>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</si>
  <si>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</si>
  <si>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</si>
  <si>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</si>
  <si>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</si>
  <si>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</si>
  <si>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</si>
  <si>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</si>
  <si>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</si>
  <si>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</si>
  <si>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</si>
  <si>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</si>
  <si>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</si>
  <si>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</si>
  <si>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</si>
  <si>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</si>
  <si>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</si>
  <si>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</si>
  <si>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</si>
  <si>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</si>
  <si>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</si>
  <si>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</si>
  <si>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</si>
  <si>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</si>
  <si>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</si>
  <si>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</si>
  <si>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</si>
  <si>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</si>
  <si>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</si>
  <si>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</si>
  <si>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</si>
  <si>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</si>
  <si>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</si>
  <si>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</si>
  <si>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</si>
  <si>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</si>
  <si>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</si>
  <si>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</si>
  <si>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</si>
  <si>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</si>
  <si>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</si>
  <si>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</si>
  <si>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</si>
  <si>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</si>
  <si>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</si>
  <si>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</si>
  <si>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</si>
  <si>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</si>
  <si>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</si>
  <si>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</si>
  <si>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</si>
  <si>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</si>
  <si>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</si>
  <si>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</si>
  <si>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</si>
  <si>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</si>
  <si>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</si>
  <si>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</si>
  <si>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</si>
  <si>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</si>
  <si>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</si>
  <si>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</si>
  <si>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</si>
  <si>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</si>
  <si>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</si>
  <si>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</si>
  <si>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</si>
  <si>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</si>
  <si>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</si>
  <si>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</si>
  <si>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</si>
  <si>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</si>
  <si>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</si>
  <si>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</si>
  <si>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</si>
  <si>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</si>
  <si>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</si>
  <si>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</si>
  <si>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</si>
  <si>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</si>
  <si>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</si>
  <si>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</si>
  <si>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</si>
  <si>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</si>
  <si>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</si>
  <si>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</si>
  <si>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</si>
  <si>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</si>
  <si>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</si>
  <si>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</si>
  <si>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</si>
  <si>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</si>
  <si>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</si>
  <si>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</si>
  <si>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</si>
  <si>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</si>
  <si>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</si>
  <si>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</si>
  <si>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</si>
  <si>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</si>
  <si>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</si>
  <si>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</si>
  <si>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</si>
  <si>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</si>
  <si>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</si>
  <si>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</si>
  <si>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</si>
  <si>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</si>
  <si>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</si>
  <si>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</si>
  <si>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</si>
  <si>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</si>
  <si>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</si>
  <si>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</si>
  <si>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</si>
  <si>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</si>
  <si>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</si>
  <si>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</si>
  <si>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</si>
  <si>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</si>
  <si>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</si>
  <si>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</si>
  <si>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</si>
  <si>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</si>
  <si>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</si>
  <si>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</si>
  <si>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</si>
  <si>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</si>
  <si>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</si>
  <si>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</si>
  <si>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</si>
  <si>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</si>
  <si>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</si>
  <si>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</si>
  <si>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</si>
  <si>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</si>
  <si>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</si>
  <si>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</si>
  <si>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</si>
  <si>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</si>
  <si>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</si>
  <si>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</si>
  <si>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</si>
  <si>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</si>
  <si>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</si>
  <si>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</si>
  <si>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</si>
  <si>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</si>
  <si>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</si>
  <si>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</si>
  <si>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</si>
  <si>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</si>
  <si>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</si>
  <si>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</si>
  <si>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</si>
  <si>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</si>
  <si>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</si>
  <si>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</si>
  <si>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</si>
  <si>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</si>
  <si>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</si>
  <si>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</si>
  <si>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</si>
  <si>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</si>
  <si>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</si>
  <si>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</si>
  <si>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</si>
  <si>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</si>
  <si>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</si>
  <si>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</si>
  <si>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</si>
  <si>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</si>
  <si>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</si>
  <si>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</si>
  <si>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</si>
  <si>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</si>
  <si>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</si>
  <si>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</si>
  <si>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</si>
  <si>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</si>
  <si>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</si>
  <si>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</si>
  <si>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</si>
  <si>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</si>
  <si>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</si>
  <si>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</si>
  <si>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</si>
  <si>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</si>
  <si>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</si>
  <si>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</si>
  <si>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</si>
  <si>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</si>
  <si>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</si>
  <si>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</si>
  <si>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</si>
  <si>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</si>
  <si>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</si>
  <si>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</si>
  <si>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</si>
  <si>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</si>
  <si>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</si>
  <si>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</si>
  <si>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</si>
  <si>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</si>
  <si>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</si>
  <si>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</si>
  <si>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</si>
  <si>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</si>
  <si>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</si>
  <si>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</si>
  <si>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</si>
  <si>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</si>
  <si>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</si>
  <si>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</si>
  <si>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</si>
  <si>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</si>
  <si>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</si>
  <si>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</si>
  <si>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</si>
  <si>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</si>
  <si>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</si>
  <si>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</si>
  <si>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</si>
  <si>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</si>
  <si>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</si>
  <si>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</si>
  <si>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</si>
  <si>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</si>
  <si>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</si>
  <si>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</si>
  <si>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</si>
  <si>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</si>
  <si>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</si>
  <si>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</si>
  <si>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</si>
  <si>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</si>
  <si>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</si>
  <si>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</si>
  <si>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</si>
  <si>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</si>
  <si>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</si>
  <si>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</si>
  <si>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</si>
  <si>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</si>
  <si>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</si>
  <si>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</si>
  <si>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</si>
  <si>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</si>
  <si>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</si>
  <si>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</si>
  <si>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</si>
  <si>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</si>
  <si>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</si>
  <si>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</si>
  <si>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</si>
  <si>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</si>
  <si>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</si>
  <si>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</si>
  <si>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</si>
  <si>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</si>
  <si>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</si>
  <si>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</si>
  <si>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</si>
  <si>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</si>
  <si>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</si>
  <si>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</si>
  <si>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</si>
  <si>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</si>
  <si>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</si>
  <si>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</si>
  <si>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</si>
  <si>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</si>
  <si>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</si>
  <si>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</si>
  <si>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</si>
  <si>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</si>
  <si>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</si>
  <si>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</si>
  <si>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</si>
  <si>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</si>
  <si>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</si>
  <si>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</si>
  <si>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</si>
  <si>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</si>
  <si>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</si>
  <si>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</si>
  <si>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</si>
  <si>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</si>
  <si>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</si>
  <si>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</si>
  <si>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</si>
  <si>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</si>
  <si>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</si>
  <si>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</si>
  <si>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</si>
  <si>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</si>
  <si>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</si>
  <si>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</si>
  <si>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</si>
  <si>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</si>
  <si>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</si>
  <si>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</si>
  <si>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</si>
  <si>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</si>
  <si>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</si>
  <si>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</si>
  <si>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</si>
  <si>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</si>
  <si>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</si>
  <si>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</si>
  <si>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</si>
  <si>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</si>
  <si>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</si>
  <si>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</si>
  <si>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</si>
  <si>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</si>
  <si>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</si>
  <si>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</si>
  <si>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</si>
  <si>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</si>
  <si>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</si>
  <si>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</si>
  <si>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</si>
  <si>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</si>
  <si>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</si>
  <si>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</si>
  <si>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</si>
  <si>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</si>
  <si>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</si>
  <si>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</si>
  <si>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</si>
  <si>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</si>
  <si>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</si>
  <si>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</si>
  <si>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</si>
  <si>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</si>
  <si>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</si>
  <si>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</si>
  <si>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</si>
  <si>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</si>
  <si>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</si>
  <si>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</si>
  <si>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</si>
  <si>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</si>
  <si>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</si>
  <si>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</si>
  <si>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</si>
  <si>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</si>
  <si>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</si>
  <si>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</si>
  <si>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</si>
  <si>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</si>
  <si>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</si>
  <si>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</si>
  <si>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</si>
  <si>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</si>
  <si>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</si>
  <si>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</si>
  <si>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</si>
  <si>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</si>
  <si>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</si>
  <si>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</si>
  <si>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</si>
  <si>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</si>
  <si>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</si>
  <si>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</si>
  <si>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</si>
  <si>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</si>
  <si>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</si>
  <si>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</si>
  <si>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</si>
  <si>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</si>
  <si>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</si>
  <si>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</si>
  <si>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</si>
  <si>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</si>
  <si>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</si>
  <si>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</si>
  <si>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</si>
  <si>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</si>
  <si>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</si>
  <si>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</si>
  <si>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</si>
  <si>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</si>
  <si>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</si>
  <si>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</si>
  <si>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</si>
  <si>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</si>
  <si>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</si>
  <si>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</si>
  <si>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</si>
  <si>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</si>
  <si>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</si>
  <si>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</si>
  <si>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</si>
  <si>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</si>
  <si>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</si>
  <si>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</si>
  <si>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</si>
  <si>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</si>
  <si>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</si>
  <si>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</si>
  <si>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</si>
  <si>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</si>
  <si>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</si>
  <si>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</si>
  <si>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</si>
  <si>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</si>
  <si>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</si>
  <si>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</si>
  <si>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</si>
  <si>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</si>
  <si>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</si>
  <si>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26382585</t>
  </si>
  <si>
    <t>МУП "Чистый город"</t>
  </si>
  <si>
    <t>6128004585</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</si>
  <si>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</si>
  <si>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</si>
  <si>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</si>
  <si>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</si>
  <si>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</si>
  <si>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</si>
  <si>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</si>
  <si>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</si>
  <si>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</si>
  <si>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</si>
  <si>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</si>
  <si>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</si>
  <si>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</si>
  <si>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</si>
  <si>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</si>
  <si>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</si>
  <si>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</si>
  <si>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</si>
  <si>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</si>
  <si>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</si>
  <si>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</si>
  <si>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</si>
  <si>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31770799</t>
  </si>
  <si>
    <t>ООО "КХ"</t>
  </si>
  <si>
    <t>6146006176</t>
  </si>
  <si>
    <t>614601001</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</si>
  <si>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</si>
  <si>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</si>
  <si>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</si>
  <si>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</si>
  <si>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</si>
  <si>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</si>
  <si>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</si>
  <si>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</si>
  <si>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</si>
  <si>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</si>
  <si>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</si>
  <si>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</si>
  <si>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</si>
  <si>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</si>
  <si>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</si>
  <si>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</si>
  <si>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</si>
  <si>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</si>
  <si>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</si>
  <si>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</si>
  <si>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</si>
  <si>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</si>
  <si>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</si>
  <si>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</si>
  <si>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</si>
  <si>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</si>
  <si>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</si>
  <si>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</si>
  <si>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</si>
  <si>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</si>
  <si>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</si>
  <si>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</si>
  <si>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</si>
  <si>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</si>
  <si>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</si>
  <si>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</si>
  <si>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</si>
  <si>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</si>
  <si>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</si>
  <si>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</si>
  <si>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</si>
  <si>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</si>
  <si>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</si>
  <si>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</si>
  <si>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</si>
  <si>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</si>
  <si>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</si>
  <si>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</si>
  <si>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</si>
  <si>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</si>
  <si>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</si>
  <si>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</si>
  <si>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</si>
  <si>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</si>
  <si>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</si>
  <si>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</si>
  <si>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</si>
  <si>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</si>
  <si>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</si>
  <si>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</si>
  <si>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</si>
  <si>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</si>
  <si>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</si>
  <si>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</si>
  <si>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</si>
  <si>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</si>
  <si>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</si>
  <si>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</si>
  <si>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</si>
  <si>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</si>
  <si>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</si>
  <si>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</si>
  <si>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</si>
  <si>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</si>
  <si>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</si>
  <si>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</si>
  <si>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</si>
  <si>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</si>
  <si>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</si>
  <si>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</si>
  <si>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</si>
  <si>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</si>
  <si>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</si>
  <si>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</si>
  <si>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</si>
  <si>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</si>
  <si>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</si>
  <si>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</si>
  <si>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</si>
  <si>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</si>
  <si>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</si>
  <si>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</si>
  <si>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</si>
  <si>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</si>
  <si>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</si>
  <si>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</si>
  <si>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</si>
  <si>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</si>
  <si>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</si>
  <si>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</si>
  <si>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</si>
  <si>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</si>
  <si>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</si>
  <si>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</si>
  <si>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</si>
  <si>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</si>
  <si>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</si>
  <si>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</si>
  <si>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</si>
  <si>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</si>
  <si>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</si>
  <si>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</si>
  <si>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</si>
  <si>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</si>
  <si>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</si>
  <si>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</si>
  <si>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</si>
  <si>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</si>
  <si>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</si>
  <si>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</si>
  <si>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</si>
  <si>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</si>
  <si>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</si>
  <si>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</si>
  <si>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</si>
  <si>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</si>
  <si>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</si>
  <si>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</si>
  <si>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</si>
  <si>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</si>
  <si>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</si>
  <si>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</si>
  <si>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</si>
  <si>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</si>
  <si>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</si>
  <si>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</si>
  <si>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</si>
  <si>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</si>
  <si>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</si>
  <si>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</si>
  <si>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</si>
  <si>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</si>
  <si>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</si>
  <si>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</si>
  <si>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</si>
  <si>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</si>
  <si>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</si>
  <si>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</si>
  <si>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</si>
  <si>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</si>
  <si>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</si>
  <si>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</si>
  <si>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</si>
  <si>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</si>
  <si>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</si>
  <si>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</si>
  <si>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</si>
  <si>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</si>
  <si>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</si>
  <si>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</si>
  <si>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</si>
  <si>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</si>
  <si>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</si>
  <si>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</si>
  <si>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</si>
  <si>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</si>
  <si>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</si>
  <si>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</si>
  <si>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</si>
  <si>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</si>
  <si>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</si>
  <si>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</si>
  <si>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</si>
  <si>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</si>
  <si>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</si>
  <si>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</si>
  <si>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</si>
  <si>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</si>
  <si>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</si>
  <si>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</si>
  <si>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</si>
  <si>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</si>
  <si>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</si>
  <si>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</si>
  <si>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</si>
  <si>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</si>
  <si>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</si>
  <si>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</si>
  <si>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</si>
  <si>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</si>
  <si>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</si>
  <si>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</si>
  <si>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</si>
  <si>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</si>
  <si>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</si>
  <si>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</si>
  <si>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</si>
  <si>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</si>
  <si>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</si>
  <si>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</si>
  <si>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</si>
  <si>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</si>
  <si>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</si>
  <si>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</si>
  <si>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</si>
  <si>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</si>
  <si>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</si>
  <si>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</si>
  <si>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</si>
  <si>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</si>
  <si>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</si>
  <si>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</si>
  <si>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</si>
  <si>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</si>
  <si>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</si>
  <si>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</si>
  <si>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</si>
  <si>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</si>
  <si>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</si>
  <si>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</si>
  <si>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</si>
  <si>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</si>
  <si>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</si>
  <si>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</si>
  <si>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</si>
  <si>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</si>
  <si>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</si>
  <si>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</si>
  <si>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</si>
  <si>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</si>
  <si>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</si>
  <si>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</si>
  <si>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</si>
  <si>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</si>
  <si>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</si>
  <si>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</si>
  <si>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</si>
  <si>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</si>
  <si>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</si>
  <si>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</si>
  <si>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</si>
  <si>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</si>
  <si>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</si>
  <si>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</si>
  <si>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</si>
  <si>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</si>
  <si>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</si>
  <si>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</si>
  <si>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</si>
  <si>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</si>
  <si>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</si>
  <si>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</si>
  <si>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</si>
  <si>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</si>
  <si>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</si>
  <si>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</si>
  <si>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</si>
  <si>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</si>
  <si>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</si>
  <si>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</si>
  <si>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</si>
  <si>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</si>
  <si>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</si>
  <si>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</si>
  <si>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</si>
  <si>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</si>
  <si>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</si>
  <si>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</si>
  <si>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</si>
  <si>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</si>
  <si>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</si>
  <si>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</si>
  <si>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</si>
  <si>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</si>
  <si>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</si>
  <si>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</si>
  <si>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</si>
  <si>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</si>
  <si>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</si>
  <si>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</si>
  <si>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</si>
  <si>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</si>
  <si>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</si>
  <si>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</si>
  <si>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</si>
  <si>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Гуково</t>
  </si>
  <si>
    <t>60715000</t>
  </si>
  <si>
    <t>86</t>
  </si>
  <si>
    <t>Город Донецк</t>
  </si>
  <si>
    <t>60717000</t>
  </si>
  <si>
    <t>87</t>
  </si>
  <si>
    <t>Город Зверево</t>
  </si>
  <si>
    <t>60718000</t>
  </si>
  <si>
    <t>88</t>
  </si>
  <si>
    <t>Город Новочеркасск</t>
  </si>
  <si>
    <t>60727000</t>
  </si>
  <si>
    <t>90</t>
  </si>
  <si>
    <t>Город Новошахтинск</t>
  </si>
  <si>
    <t>60730000</t>
  </si>
  <si>
    <t>91</t>
  </si>
  <si>
    <t>Город Шахты</t>
  </si>
  <si>
    <t>60740000</t>
  </si>
  <si>
    <t>94</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</si>
  <si>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</si>
  <si>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</si>
  <si>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</si>
  <si>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</si>
  <si>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</si>
  <si>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</si>
  <si>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</si>
  <si>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</si>
  <si>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</si>
  <si>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</si>
  <si>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</si>
  <si>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</si>
  <si>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</si>
  <si>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</si>
  <si>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</si>
  <si>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</si>
  <si>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</si>
  <si>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</si>
  <si>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</si>
  <si>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</si>
  <si>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</si>
  <si>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</si>
  <si>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</si>
  <si>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</si>
  <si>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</si>
  <si>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</si>
  <si>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</si>
  <si>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</si>
  <si>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</si>
  <si>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</si>
  <si>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</si>
  <si>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</si>
  <si>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</si>
  <si>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60615000</t>
  </si>
  <si>
    <t>Балко-Грузское сельское поселение</t>
  </si>
  <si>
    <t>60615410</t>
  </si>
  <si>
    <t>109</t>
  </si>
  <si>
    <t>Войновское сельское поселение</t>
  </si>
  <si>
    <t>60615415</t>
  </si>
  <si>
    <t>110</t>
  </si>
  <si>
    <t>111</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</si>
  <si>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</si>
  <si>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</si>
  <si>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</si>
  <si>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</si>
  <si>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</si>
  <si>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</si>
  <si>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</si>
  <si>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</si>
  <si>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</si>
  <si>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</si>
  <si>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</si>
  <si>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</si>
  <si>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</si>
  <si>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</si>
  <si>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</si>
  <si>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</si>
  <si>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</si>
  <si>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</si>
  <si>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</si>
  <si>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</si>
  <si>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</si>
  <si>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</si>
  <si>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</si>
  <si>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</si>
  <si>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</si>
  <si>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</si>
  <si>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</si>
  <si>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</si>
  <si>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</si>
  <si>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</si>
  <si>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</si>
  <si>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</si>
  <si>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</si>
  <si>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</si>
  <si>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</si>
  <si>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</si>
  <si>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</si>
  <si>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</si>
  <si>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</si>
  <si>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</si>
  <si>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</si>
  <si>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</si>
  <si>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</si>
  <si>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</si>
  <si>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</si>
  <si>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</si>
  <si>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</si>
  <si>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</si>
  <si>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</si>
  <si>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</si>
  <si>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</si>
  <si>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</si>
  <si>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</si>
  <si>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</si>
  <si>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</si>
  <si>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</si>
  <si>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</si>
  <si>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</si>
  <si>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</si>
  <si>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</si>
  <si>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</si>
  <si>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</si>
  <si>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</si>
  <si>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</si>
  <si>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</si>
  <si>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</si>
  <si>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</si>
  <si>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</si>
  <si>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</si>
  <si>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</si>
  <si>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</si>
  <si>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</si>
  <si>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</si>
  <si>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</si>
  <si>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</si>
  <si>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</si>
  <si>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</si>
  <si>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</si>
  <si>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</si>
  <si>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</si>
  <si>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</si>
  <si>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</si>
  <si>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</si>
  <si>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</si>
  <si>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</si>
  <si>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</si>
  <si>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</si>
  <si>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</si>
  <si>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</si>
  <si>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</si>
  <si>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</si>
  <si>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</si>
  <si>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</si>
  <si>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</si>
  <si>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</si>
  <si>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</si>
  <si>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</si>
  <si>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</si>
  <si>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</si>
  <si>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</si>
  <si>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</si>
  <si>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</si>
  <si>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</si>
  <si>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</si>
  <si>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</si>
  <si>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</si>
  <si>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</si>
  <si>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</si>
  <si>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</si>
  <si>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</si>
  <si>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</si>
  <si>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</si>
  <si>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</si>
  <si>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</si>
  <si>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</si>
  <si>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</si>
  <si>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</si>
  <si>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</si>
  <si>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</si>
  <si>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</si>
  <si>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</si>
  <si>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</si>
  <si>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</si>
  <si>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</si>
  <si>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</si>
  <si>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</si>
  <si>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</si>
  <si>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</si>
  <si>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</si>
  <si>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</si>
  <si>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</si>
  <si>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</si>
  <si>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60623000</t>
  </si>
  <si>
    <t>Астаховское сельское поселение</t>
  </si>
  <si>
    <t>60623405</t>
  </si>
  <si>
    <t>160</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</si>
  <si>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</si>
  <si>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</si>
  <si>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</si>
  <si>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</si>
  <si>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</si>
  <si>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</si>
  <si>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</si>
  <si>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</si>
  <si>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</si>
  <si>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</si>
  <si>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</si>
  <si>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</si>
  <si>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</si>
  <si>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</si>
  <si>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</si>
  <si>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</si>
  <si>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</si>
  <si>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</si>
  <si>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</si>
  <si>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</si>
  <si>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</si>
  <si>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</si>
  <si>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</si>
  <si>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</si>
  <si>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</si>
  <si>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</si>
  <si>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</si>
  <si>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</si>
  <si>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</si>
  <si>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</si>
  <si>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</si>
  <si>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</si>
  <si>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</si>
  <si>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</si>
  <si>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</si>
  <si>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</si>
  <si>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</si>
  <si>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</si>
  <si>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</si>
  <si>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</si>
  <si>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</si>
  <si>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</si>
  <si>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</si>
  <si>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</si>
  <si>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</si>
  <si>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</si>
  <si>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</si>
  <si>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</si>
  <si>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</si>
  <si>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</si>
  <si>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</si>
  <si>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</si>
  <si>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</si>
  <si>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</si>
  <si>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</si>
  <si>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</si>
  <si>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</si>
  <si>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</si>
  <si>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</si>
  <si>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</si>
  <si>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</si>
  <si>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</si>
  <si>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</si>
  <si>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</si>
  <si>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</si>
  <si>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</si>
  <si>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</si>
  <si>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</si>
  <si>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</si>
  <si>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</si>
  <si>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</si>
  <si>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</si>
  <si>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</si>
  <si>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</si>
  <si>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</si>
  <si>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</si>
  <si>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</si>
  <si>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</si>
  <si>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</si>
  <si>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</si>
  <si>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</si>
  <si>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</si>
  <si>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</si>
  <si>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</si>
  <si>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</si>
  <si>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</si>
  <si>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</si>
  <si>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</si>
  <si>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</si>
  <si>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</si>
  <si>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</si>
  <si>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</si>
  <si>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</si>
  <si>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</si>
  <si>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</si>
  <si>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</si>
  <si>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</si>
  <si>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</si>
  <si>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</si>
  <si>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</si>
  <si>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</si>
  <si>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</si>
  <si>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</si>
  <si>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</si>
  <si>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</si>
  <si>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</si>
  <si>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</si>
  <si>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</si>
  <si>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</si>
  <si>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</si>
  <si>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</si>
  <si>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</si>
  <si>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</si>
  <si>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</si>
  <si>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</si>
  <si>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</si>
  <si>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</si>
  <si>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</si>
  <si>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</si>
  <si>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</si>
  <si>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</si>
  <si>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</si>
  <si>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</si>
  <si>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</si>
  <si>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</si>
  <si>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</si>
  <si>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</si>
  <si>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</si>
  <si>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</si>
  <si>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</si>
  <si>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</si>
  <si>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</si>
  <si>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</si>
  <si>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</si>
  <si>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</si>
  <si>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</si>
  <si>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</si>
  <si>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</si>
  <si>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</si>
  <si>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</si>
  <si>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</si>
  <si>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</si>
  <si>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</si>
  <si>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</si>
  <si>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</si>
  <si>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</si>
  <si>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</si>
  <si>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</si>
  <si>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</si>
  <si>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</si>
  <si>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</si>
  <si>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</si>
  <si>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</si>
  <si>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</si>
  <si>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</si>
  <si>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</si>
  <si>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</si>
  <si>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</si>
  <si>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</si>
  <si>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</si>
  <si>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</si>
  <si>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</si>
  <si>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</si>
  <si>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</si>
  <si>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</si>
  <si>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</si>
  <si>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</si>
  <si>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</si>
  <si>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</si>
  <si>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</si>
  <si>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</si>
  <si>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</si>
  <si>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</si>
  <si>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</si>
  <si>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</si>
  <si>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</si>
  <si>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</si>
  <si>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</si>
  <si>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</si>
  <si>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</si>
  <si>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</si>
  <si>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</si>
  <si>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</si>
  <si>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</si>
  <si>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</si>
  <si>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</si>
  <si>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</si>
  <si>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</si>
  <si>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</si>
  <si>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</si>
  <si>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</si>
  <si>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</si>
  <si>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</si>
  <si>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</si>
  <si>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</si>
  <si>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</si>
  <si>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</si>
  <si>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</si>
  <si>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</si>
  <si>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</si>
  <si>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</si>
  <si>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</si>
  <si>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</si>
  <si>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</si>
  <si>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</si>
  <si>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</si>
  <si>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</si>
  <si>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</si>
  <si>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</si>
  <si>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</si>
  <si>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</si>
  <si>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</si>
  <si>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</si>
  <si>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</si>
  <si>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</si>
  <si>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</si>
  <si>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</si>
  <si>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</si>
  <si>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</si>
  <si>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</si>
  <si>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</si>
  <si>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</si>
  <si>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</si>
  <si>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</si>
  <si>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</si>
  <si>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</si>
  <si>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</si>
  <si>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</si>
  <si>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</si>
  <si>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</si>
  <si>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</si>
  <si>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</si>
  <si>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</si>
  <si>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</si>
  <si>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</si>
  <si>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</si>
  <si>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</si>
  <si>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</si>
  <si>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</si>
  <si>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</si>
  <si>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</si>
  <si>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</si>
  <si>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</si>
  <si>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</si>
  <si>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</si>
  <si>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</si>
  <si>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</si>
  <si>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</si>
  <si>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</si>
  <si>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</si>
  <si>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</si>
  <si>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</si>
  <si>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</si>
  <si>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</si>
  <si>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</si>
  <si>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</si>
  <si>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</si>
  <si>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</si>
  <si>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</si>
  <si>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</si>
  <si>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</si>
  <si>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</si>
  <si>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</si>
  <si>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</si>
  <si>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</si>
  <si>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</si>
  <si>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</si>
  <si>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</si>
  <si>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</si>
  <si>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</si>
  <si>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</si>
  <si>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</si>
  <si>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</si>
  <si>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</si>
  <si>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</si>
  <si>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</si>
  <si>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</si>
  <si>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</si>
  <si>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</si>
  <si>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</si>
  <si>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</si>
  <si>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</si>
  <si>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</si>
  <si>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</si>
  <si>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</si>
  <si>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</si>
  <si>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</si>
  <si>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</si>
  <si>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</si>
  <si>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</si>
  <si>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</si>
  <si>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</si>
  <si>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</si>
  <si>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</si>
  <si>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</si>
  <si>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</si>
  <si>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</si>
  <si>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</si>
  <si>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</si>
  <si>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</si>
  <si>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</si>
  <si>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</si>
  <si>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</si>
  <si>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</si>
  <si>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</si>
  <si>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</si>
  <si>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</si>
  <si>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</si>
  <si>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</si>
  <si>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</si>
  <si>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</si>
  <si>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</si>
  <si>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</si>
  <si>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</si>
  <si>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</si>
  <si>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</si>
  <si>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</si>
  <si>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</si>
  <si>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</si>
  <si>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</si>
  <si>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</si>
  <si>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</si>
  <si>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</si>
  <si>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</si>
  <si>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</si>
  <si>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</si>
  <si>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</si>
  <si>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</si>
  <si>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</si>
  <si>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</si>
  <si>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</si>
  <si>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</si>
  <si>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</si>
  <si>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</si>
  <si>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</si>
  <si>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</si>
  <si>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</si>
  <si>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</si>
  <si>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</si>
  <si>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</si>
  <si>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</si>
  <si>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</si>
  <si>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</si>
  <si>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</si>
  <si>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</si>
  <si>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</si>
  <si>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</si>
  <si>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</si>
  <si>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</si>
  <si>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</si>
  <si>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</si>
  <si>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</si>
  <si>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</si>
  <si>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</si>
  <si>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</si>
  <si>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</si>
  <si>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</si>
  <si>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</si>
  <si>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</si>
  <si>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</si>
  <si>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</si>
  <si>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</si>
  <si>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</si>
  <si>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</si>
  <si>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</si>
  <si>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</si>
  <si>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</si>
  <si>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</si>
  <si>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</si>
  <si>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</si>
  <si>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</si>
  <si>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</si>
  <si>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</si>
  <si>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</si>
  <si>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</si>
  <si>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</si>
  <si>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</si>
  <si>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</si>
  <si>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</si>
  <si>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</si>
  <si>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</si>
  <si>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</si>
  <si>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</si>
  <si>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</si>
  <si>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</si>
  <si>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</si>
  <si>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</si>
  <si>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</si>
  <si>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</si>
  <si>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</si>
  <si>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</si>
  <si>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</si>
  <si>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</si>
  <si>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</si>
  <si>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</si>
  <si>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</si>
  <si>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</si>
  <si>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</si>
  <si>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</si>
  <si>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</si>
  <si>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</si>
  <si>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</si>
  <si>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</si>
  <si>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</si>
  <si>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</si>
  <si>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</si>
  <si>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</si>
  <si>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</si>
  <si>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</si>
  <si>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</si>
  <si>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</si>
  <si>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</si>
  <si>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</si>
  <si>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</si>
  <si>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</si>
  <si>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</si>
  <si>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</si>
  <si>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</si>
  <si>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</si>
  <si>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</si>
  <si>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</si>
  <si>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</si>
  <si>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</si>
  <si>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</si>
  <si>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</si>
  <si>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</si>
  <si>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</si>
  <si>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</si>
  <si>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</si>
  <si>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</si>
  <si>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</si>
  <si>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</si>
  <si>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</si>
  <si>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</si>
  <si>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</si>
  <si>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</si>
  <si>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</si>
  <si>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</si>
  <si>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</si>
  <si>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</si>
  <si>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</si>
  <si>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</si>
  <si>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</si>
  <si>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</si>
  <si>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</si>
  <si>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</si>
  <si>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</si>
  <si>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</si>
  <si>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</si>
  <si>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</si>
  <si>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</si>
  <si>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</si>
  <si>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</si>
  <si>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</si>
  <si>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</si>
  <si>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Островянское сельское поселение</t>
  </si>
  <si>
    <t>60642448</t>
  </si>
  <si>
    <t>321</t>
  </si>
  <si>
    <t>60642452</t>
  </si>
  <si>
    <t>322</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</si>
  <si>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</si>
  <si>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</si>
  <si>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</si>
  <si>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</si>
  <si>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</si>
  <si>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</si>
  <si>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</si>
  <si>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</si>
  <si>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</si>
  <si>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</si>
  <si>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</si>
  <si>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</si>
  <si>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</si>
  <si>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</si>
  <si>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</si>
  <si>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</si>
  <si>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</si>
  <si>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</si>
  <si>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</si>
  <si>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</si>
  <si>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</si>
  <si>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</si>
  <si>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</si>
  <si>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</si>
  <si>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</si>
  <si>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</si>
  <si>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</si>
  <si>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</si>
  <si>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</si>
  <si>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</si>
  <si>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</si>
  <si>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</si>
  <si>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</si>
  <si>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</si>
  <si>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</si>
  <si>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</si>
  <si>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</si>
  <si>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</si>
  <si>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</si>
  <si>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</si>
  <si>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</si>
  <si>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</si>
  <si>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</si>
  <si>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</si>
  <si>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</si>
  <si>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</si>
  <si>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</si>
  <si>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</si>
  <si>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</si>
  <si>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</si>
  <si>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</si>
  <si>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</si>
  <si>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</si>
  <si>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</si>
  <si>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</si>
  <si>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</si>
  <si>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</si>
  <si>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</si>
  <si>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</si>
  <si>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</si>
  <si>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</si>
  <si>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</si>
  <si>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</si>
  <si>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</si>
  <si>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</si>
  <si>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</si>
  <si>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</si>
  <si>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</si>
  <si>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</si>
  <si>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</si>
  <si>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</si>
  <si>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</si>
  <si>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</si>
  <si>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</si>
  <si>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</si>
  <si>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</si>
  <si>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</si>
  <si>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</si>
  <si>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</si>
  <si>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</si>
  <si>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</si>
  <si>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</si>
  <si>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</si>
  <si>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</si>
  <si>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</si>
  <si>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</si>
  <si>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</si>
  <si>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</si>
  <si>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</si>
  <si>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</si>
  <si>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</si>
  <si>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</si>
  <si>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</si>
  <si>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</si>
  <si>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</si>
  <si>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</si>
  <si>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</si>
  <si>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</si>
  <si>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</si>
  <si>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</si>
  <si>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</si>
  <si>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</si>
  <si>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</si>
  <si>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</si>
  <si>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</si>
  <si>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</si>
  <si>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</si>
  <si>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</si>
  <si>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</si>
  <si>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</si>
  <si>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</si>
  <si>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</si>
  <si>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</si>
  <si>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</si>
  <si>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</si>
  <si>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</si>
  <si>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</si>
  <si>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</si>
  <si>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</si>
  <si>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</si>
  <si>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</si>
  <si>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</si>
  <si>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</si>
  <si>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</si>
  <si>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</si>
  <si>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</si>
  <si>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</si>
  <si>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</si>
  <si>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</si>
  <si>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</si>
  <si>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</si>
  <si>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</si>
  <si>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</si>
  <si>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</si>
  <si>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</si>
  <si>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</si>
  <si>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</si>
  <si>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</si>
  <si>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</si>
  <si>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</si>
  <si>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</si>
  <si>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</si>
  <si>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</si>
  <si>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</si>
  <si>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</si>
  <si>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</si>
  <si>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</si>
  <si>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</si>
  <si>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</si>
  <si>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</si>
  <si>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</si>
  <si>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</si>
  <si>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</si>
  <si>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</si>
  <si>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</si>
  <si>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</si>
  <si>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</si>
  <si>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</si>
  <si>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</si>
  <si>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</si>
  <si>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</si>
  <si>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</si>
  <si>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</si>
  <si>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</si>
  <si>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</si>
  <si>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</si>
  <si>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</si>
  <si>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</si>
  <si>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</si>
  <si>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</si>
  <si>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</si>
  <si>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</si>
  <si>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</si>
  <si>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</si>
  <si>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</si>
  <si>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</si>
  <si>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</si>
  <si>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</si>
  <si>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</si>
  <si>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</si>
  <si>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</si>
  <si>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</si>
  <si>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</si>
  <si>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</si>
  <si>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</si>
  <si>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</si>
  <si>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</si>
  <si>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</si>
  <si>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</si>
  <si>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</si>
  <si>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</si>
  <si>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</si>
  <si>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</si>
  <si>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</si>
  <si>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</si>
  <si>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</si>
  <si>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</si>
  <si>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</si>
  <si>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</si>
  <si>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</si>
  <si>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</si>
  <si>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</si>
  <si>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</si>
  <si>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</si>
  <si>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</si>
  <si>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</si>
  <si>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</si>
  <si>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</si>
  <si>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</si>
  <si>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</si>
  <si>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</si>
  <si>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</si>
  <si>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</si>
  <si>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</si>
  <si>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</si>
  <si>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</si>
  <si>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</si>
  <si>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</si>
  <si>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</si>
  <si>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</si>
  <si>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</si>
  <si>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</si>
  <si>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</si>
  <si>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</si>
  <si>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</si>
  <si>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</si>
  <si>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</si>
  <si>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</si>
  <si>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</si>
  <si>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</si>
  <si>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</si>
  <si>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</si>
  <si>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</si>
  <si>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</si>
  <si>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</si>
  <si>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</si>
  <si>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</si>
  <si>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</si>
  <si>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</si>
  <si>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</si>
  <si>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</si>
  <si>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</si>
  <si>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</si>
  <si>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</si>
  <si>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</si>
  <si>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</si>
  <si>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</si>
  <si>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</si>
  <si>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</si>
  <si>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</si>
  <si>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</si>
  <si>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</si>
  <si>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</si>
  <si>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</si>
  <si>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</si>
  <si>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</si>
  <si>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</si>
  <si>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</si>
  <si>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</si>
  <si>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</si>
  <si>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</si>
  <si>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</si>
  <si>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</si>
  <si>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</si>
  <si>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</si>
  <si>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</si>
  <si>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</si>
  <si>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</si>
  <si>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</si>
  <si>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</si>
  <si>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</si>
  <si>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</si>
  <si>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</si>
  <si>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</si>
  <si>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</si>
  <si>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</si>
  <si>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</si>
  <si>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</si>
  <si>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</si>
  <si>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</si>
  <si>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</si>
  <si>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</si>
  <si>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</si>
  <si>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</si>
  <si>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</si>
  <si>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</si>
  <si>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</si>
  <si>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</si>
  <si>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</si>
  <si>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</si>
  <si>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</si>
  <si>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</si>
  <si>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</si>
  <si>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</si>
  <si>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</si>
  <si>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</si>
  <si>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</si>
  <si>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</si>
  <si>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</si>
  <si>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</si>
  <si>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</si>
  <si>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</si>
  <si>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</si>
  <si>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</si>
  <si>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</si>
  <si>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</si>
  <si>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</si>
  <si>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</si>
  <si>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</si>
  <si>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</si>
  <si>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</si>
  <si>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</si>
  <si>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</si>
  <si>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</si>
  <si>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</si>
  <si>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</si>
  <si>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</si>
  <si>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</si>
  <si>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</si>
  <si>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</si>
  <si>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</si>
  <si>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</si>
  <si>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</si>
  <si>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</si>
  <si>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</si>
  <si>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</si>
  <si>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</si>
  <si>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</si>
  <si>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</si>
  <si>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</si>
  <si>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</si>
  <si>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</si>
  <si>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</si>
  <si>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</si>
  <si>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</si>
  <si>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</si>
  <si>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</si>
  <si>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</si>
  <si>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</si>
  <si>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</si>
  <si>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</si>
  <si>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</si>
  <si>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</si>
  <si>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</si>
  <si>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</si>
  <si>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</si>
  <si>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</si>
  <si>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</si>
  <si>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</si>
  <si>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</si>
  <si>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</si>
  <si>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</si>
  <si>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</si>
  <si>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</si>
  <si>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</si>
  <si>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</si>
  <si>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</si>
  <si>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</si>
  <si>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</si>
  <si>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</si>
  <si>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</si>
  <si>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</si>
  <si>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</si>
  <si>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</si>
  <si>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</si>
  <si>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</si>
  <si>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</si>
  <si>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</si>
  <si>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</si>
  <si>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</si>
  <si>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</si>
  <si>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</si>
  <si>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</si>
  <si>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</si>
  <si>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</si>
  <si>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</si>
  <si>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</si>
  <si>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</si>
  <si>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</si>
  <si>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</si>
  <si>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</si>
  <si>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</si>
  <si>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</si>
  <si>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</si>
  <si>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</si>
  <si>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</si>
  <si>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</si>
  <si>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</si>
  <si>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</si>
  <si>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</si>
  <si>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</si>
  <si>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</si>
  <si>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</si>
  <si>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</si>
  <si>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</si>
  <si>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</si>
  <si>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</si>
  <si>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</si>
  <si>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</si>
  <si>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233 от 30.10.2023 ОАО "Исток" в сфере холодного водоснабжения по модернизации и реконструкции единого комплекса объектов, на территории городского округа Каменск-Шахтинский на 2024-2028 годы</t>
  </si>
  <si>
    <t>01.01.2024</t>
  </si>
  <si>
    <t>31.12.2028</t>
  </si>
  <si>
    <t>Инвестиционная программа № 42/2 от 31.08.2021 МУП "Исток" в сфере водоснабжения и водоотведения по модернизации и строительству централизованных систем холодного водоснабжения и водоотведения, на территории городского округа Донецк на 2022 год</t>
  </si>
  <si>
    <t>01.01.2022</t>
  </si>
  <si>
    <t>31.12.2022</t>
  </si>
  <si>
    <t>Инвестиционная программа № 42/2 от 31.08.2021 МУП "Исток" в сфере водоснабжения и водоотведения по модернизации и строительству централизованных систем холодного водоснабжения и водоотведения, на территории городского округа Донецк на 2022-2026 годы</t>
  </si>
  <si>
    <t>31.12.2026</t>
  </si>
  <si>
    <t>Инвестиционная программа от 16.05.2022 Общество с ограниченной ответственностью «Экологические технологии»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Новочеркасск на 2022-2026 годы</t>
  </si>
  <si>
    <t>17.05.2022</t>
  </si>
  <si>
    <t>Инвестиционная программа от 17.10.2022 ООО "КЭСК"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округа Ростов-на-Дону на 2023-2025 годы</t>
  </si>
  <si>
    <t>01.01.2023</t>
  </si>
  <si>
    <t>31.12.2025</t>
  </si>
  <si>
    <t>Инвестиционная программа от 20.04.2021 ООО "Нептун" в сфере холодного водоснабжения по модернизации объектов на 2021-2022 годы</t>
  </si>
  <si>
    <t>20.04.2021</t>
  </si>
  <si>
    <t>Инвестиционная программа от 20.04.2021 Общество с ограниченной ответственностью «Экологические технологии» в сфере холодного водоснабжения по строительству, реконструкции и модернизации объектов, на территории городского округа Новочеркасск на 2021-2024 годы</t>
  </si>
  <si>
    <t>31.12.2024</t>
  </si>
  <si>
    <t>Инвестиционная программа от 26.07.2023 Веселовское МУП ЖКХ в сфере холодного водоснабжения по строительству водопроводных сетей, на территории муниципального района Веселовский на 2023-2026 годы</t>
  </si>
  <si>
    <t>27.07.2023</t>
  </si>
  <si>
    <t>Инвестиционная программа от 29.12.2020 ОАО "Аксайская ПМК РСВС" в сфере водоснабжения и водоотведения по строительству, реконструкции и модернизации систем инженерной инфраструктуры, на территории городского поселения Аксайское, Аксайский район на 2021-2023 годы</t>
  </si>
  <si>
    <t>01.01.2021</t>
  </si>
  <si>
    <t>31.12.2023</t>
  </si>
  <si>
    <t>Инвестиционная программа от 30.10.2023 МУП "Управление"Водоканал" в сфере водоснабжения и водоотведения по строительству, реконструкции и модернизации имущественного комплекса, на территории городского округа Таганрог на 2024-2028 годы</t>
  </si>
  <si>
    <t>Инвестиционная программа от 30.10.2023 МУП "Управление"Водоканал" в сфере холодного водоснабжения по строительству, реконструкции и модернизации имущественного комплекса, на территории городского округа Таганрог на 2024-2028 годы</t>
  </si>
  <si>
    <t>Инвестиционная программа от 30.10.2023 ОАО "Аксайская ПМК РСВС" в сфере водоснабжения и водоотведения по строительству, реконструкции и модернизации имущественного комплекса, на территории муниципального района Аксайский на 2024-2026 годы</t>
  </si>
  <si>
    <t>Инвестиционная программа от 30.10.2023 ОАО "Аксайская ПМК РСВС" в сфере холодного водоснабжения по строительству, реконструкции и модернизации имущественного комплекса, на территории муниципального района Аксайский на 2024-2026 годы</t>
  </si>
  <si>
    <t>Инвестиционная программа от 31.08.2022 МУП "Мясниковское ВКХ" в сфере водоснабжения и водоотведения по строительству, реконструкции и модернизации объектов, на территории муниципального района Мясниковский на 2023-2025 годы</t>
  </si>
  <si>
    <t>TER_NAME</t>
  </si>
  <si>
    <t>Территория 1</t>
  </si>
  <si>
    <t>Территория 2</t>
  </si>
  <si>
    <t>Территория 3</t>
  </si>
  <si>
    <t>Территория 4</t>
  </si>
  <si>
    <t>Территория 5</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</si>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</sst>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8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Protection="1">
      <alignmen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320802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skdtv@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433" t="s">
        <v>1</v>
      </c>
      <c r="C2" s="2433"/>
      <c r="D2" s="2433"/>
      <c r="E2" s="2433"/>
      <c r="F2" s="2433"/>
      <c r="G2" s="2433"/>
      <c r="H2" s="2433"/>
      <c r="I2" s="2433"/>
      <c r="J2" s="2433"/>
      <c r="K2" s="2433"/>
      <c r="L2" s="2433"/>
      <c r="M2" s="2433"/>
      <c r="N2" s="2433"/>
      <c r="O2" s="2433"/>
      <c r="P2" s="2433"/>
      <c r="Q2" s="1632"/>
      <c r="R2" s="1632"/>
      <c r="S2" s="1632"/>
      <c r="T2" s="1632"/>
      <c r="U2" s="1632"/>
      <c r="V2" s="1633"/>
      <c r="W2" s="1632"/>
      <c r="X2" s="1632"/>
      <c r="Y2" s="1629"/>
      <c r="Z2" s="1628"/>
      <c r="AA2" s="1630"/>
      <c r="AB2" s="1628"/>
    </row>
    <row r="3" spans="1:28" ht="15.75" customHeight="1">
      <c r="A3" s="1628"/>
      <c r="B3" s="2434" t="s">
        <v>2</v>
      </c>
      <c r="C3" s="2434"/>
      <c r="D3" s="2434"/>
      <c r="E3" s="2434"/>
      <c r="F3" s="2434"/>
      <c r="G3" s="2434"/>
      <c r="H3" s="2434"/>
      <c r="I3" s="2434"/>
      <c r="J3" s="2434"/>
      <c r="K3" s="2434"/>
      <c r="L3" s="2434"/>
      <c r="M3" s="2434"/>
      <c r="N3" s="2434"/>
      <c r="O3" s="2434"/>
      <c r="P3" s="2434"/>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435"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436"/>
      <c r="D5" s="2436"/>
      <c r="E5" s="2436"/>
      <c r="F5" s="2436"/>
      <c r="G5" s="2436"/>
      <c r="H5" s="2436"/>
      <c r="I5" s="2436"/>
      <c r="J5" s="2436"/>
      <c r="K5" s="2436"/>
      <c r="L5" s="2436"/>
      <c r="M5" s="2436"/>
      <c r="N5" s="2436"/>
      <c r="O5" s="2436"/>
      <c r="P5" s="2436"/>
      <c r="Q5" s="2436"/>
      <c r="R5" s="2436"/>
      <c r="S5" s="2436"/>
      <c r="T5" s="2436"/>
      <c r="U5" s="2436"/>
      <c r="V5" s="2436"/>
      <c r="W5" s="2436"/>
      <c r="X5" s="2436"/>
      <c r="Y5" s="2437"/>
      <c r="Z5" s="1635"/>
      <c r="AA5" s="1630"/>
      <c r="AB5" s="1635"/>
    </row>
    <row r="6" spans="1:28" ht="15" customHeight="1">
      <c r="A6" s="1636"/>
      <c r="B6" s="2425" t="s">
        <v>3</v>
      </c>
      <c r="C6" s="2428"/>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425"/>
      <c r="C7" s="2428"/>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425"/>
      <c r="C8" s="2428"/>
      <c r="D8" s="1642"/>
      <c r="E8" s="1643" t="s">
        <v>4</v>
      </c>
      <c r="F8" s="2438" t="s">
        <v>5</v>
      </c>
      <c r="G8" s="2427"/>
      <c r="H8" s="2427"/>
      <c r="I8" s="2427"/>
      <c r="J8" s="2427"/>
      <c r="K8" s="2427"/>
      <c r="L8" s="2427"/>
      <c r="M8" s="2427"/>
      <c r="N8" s="1642"/>
      <c r="O8" s="1644" t="s">
        <v>4</v>
      </c>
      <c r="P8" s="2439" t="s">
        <v>6</v>
      </c>
      <c r="Q8" s="2440"/>
      <c r="R8" s="2440"/>
      <c r="S8" s="2440"/>
      <c r="T8" s="2440"/>
      <c r="U8" s="2440"/>
      <c r="V8" s="2440"/>
      <c r="W8" s="2440"/>
      <c r="X8" s="2440"/>
      <c r="Y8" s="1638"/>
      <c r="Z8" s="1639"/>
      <c r="AA8" s="1640"/>
      <c r="AB8" s="1640"/>
    </row>
    <row r="9" spans="1:28" ht="15" customHeight="1">
      <c r="A9" s="1636"/>
      <c r="B9" s="2425"/>
      <c r="C9" s="2428"/>
      <c r="D9" s="1642"/>
      <c r="E9" s="1645" t="s">
        <v>4</v>
      </c>
      <c r="F9" s="2438" t="s">
        <v>7</v>
      </c>
      <c r="G9" s="2427"/>
      <c r="H9" s="2427"/>
      <c r="I9" s="2427"/>
      <c r="J9" s="2427"/>
      <c r="K9" s="2427"/>
      <c r="L9" s="2427"/>
      <c r="M9" s="2427"/>
      <c r="N9" s="1642"/>
      <c r="O9" s="1646" t="s">
        <v>4</v>
      </c>
      <c r="P9" s="2439" t="s">
        <v>8</v>
      </c>
      <c r="Q9" s="2440"/>
      <c r="R9" s="2440"/>
      <c r="S9" s="2440"/>
      <c r="T9" s="2440"/>
      <c r="U9" s="2440"/>
      <c r="V9" s="2440"/>
      <c r="W9" s="2440"/>
      <c r="X9" s="2440"/>
      <c r="Y9" s="1638"/>
      <c r="Z9" s="1639"/>
      <c r="AA9" s="1640"/>
      <c r="AB9" s="1640"/>
    </row>
    <row r="10" spans="1:28" ht="30" customHeight="1">
      <c r="A10" s="1636"/>
      <c r="B10" s="2425"/>
      <c r="C10" s="2426"/>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424"/>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425"/>
      <c r="C12" s="2426"/>
      <c r="D12" s="1650"/>
      <c r="E12" s="2427" t="s">
        <v>10</v>
      </c>
      <c r="F12" s="2427"/>
      <c r="G12" s="2427"/>
      <c r="H12" s="2427"/>
      <c r="I12" s="2427"/>
      <c r="J12" s="2427"/>
      <c r="K12" s="2427"/>
      <c r="L12" s="2427"/>
      <c r="M12" s="2427"/>
      <c r="N12" s="2427"/>
      <c r="O12" s="2427"/>
      <c r="P12" s="2427"/>
      <c r="Q12" s="2427"/>
      <c r="R12" s="2427"/>
      <c r="S12" s="2427"/>
      <c r="T12" s="2427"/>
      <c r="U12" s="2427"/>
      <c r="V12" s="2427"/>
      <c r="W12" s="2427"/>
      <c r="X12" s="2427"/>
      <c r="Y12" s="1638"/>
      <c r="Z12" s="1639"/>
      <c r="AA12" s="1640"/>
      <c r="AB12" s="1640"/>
    </row>
    <row r="13" spans="1:28" ht="15" customHeight="1">
      <c r="A13" s="1636"/>
      <c r="B13" s="1" t="s">
        <v>11</v>
      </c>
      <c r="C13" s="2424"/>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425"/>
      <c r="C14" s="2428"/>
      <c r="D14" s="1642"/>
      <c r="E14" s="2431" t="s">
        <v>12</v>
      </c>
      <c r="F14" s="2431"/>
      <c r="G14" s="2431"/>
      <c r="H14" s="2431"/>
      <c r="I14" s="2431"/>
      <c r="J14" s="2431"/>
      <c r="K14" s="2431"/>
      <c r="L14" s="2431"/>
      <c r="M14" s="2431"/>
      <c r="N14" s="2431"/>
      <c r="O14" s="2431"/>
      <c r="P14" s="2431"/>
      <c r="Q14" s="2431"/>
      <c r="R14" s="2431"/>
      <c r="S14" s="2431"/>
      <c r="T14" s="2431"/>
      <c r="U14" s="2431"/>
      <c r="V14" s="2431"/>
      <c r="W14" s="2431"/>
      <c r="X14" s="2431"/>
      <c r="Y14" s="1638"/>
      <c r="Z14" s="1639"/>
      <c r="AA14" s="1640"/>
      <c r="AB14" s="1640"/>
    </row>
    <row r="15" spans="1:28" ht="16.5" customHeight="1">
      <c r="A15" s="1636"/>
      <c r="B15" s="2429"/>
      <c r="C15" s="2430"/>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431"/>
      <c r="C16" s="2432"/>
      <c r="D16" s="2432"/>
      <c r="E16" s="2432"/>
      <c r="F16" s="2432"/>
      <c r="G16" s="2432"/>
      <c r="H16" s="2432"/>
      <c r="I16" s="2432"/>
      <c r="J16" s="2432"/>
      <c r="K16" s="2432"/>
      <c r="L16" s="2432"/>
      <c r="M16" s="2432"/>
      <c r="N16" s="2432"/>
      <c r="O16" s="2432"/>
      <c r="P16" s="2432"/>
      <c r="Q16" s="2432"/>
      <c r="R16" s="2432"/>
      <c r="S16" s="2432"/>
      <c r="T16" s="2432"/>
      <c r="U16" s="2432"/>
      <c r="V16" s="2432"/>
      <c r="W16" s="2432"/>
      <c r="X16" s="2432"/>
      <c r="Y16" s="243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454" t="s">
        <v>468</v>
      </c>
      <c r="F4" s="2454"/>
      <c r="G4" s="2455"/>
      <c r="H4" s="2455"/>
      <c r="I4" s="2456"/>
      <c r="J4" s="428"/>
      <c r="K4" s="390"/>
      <c r="L4" s="390"/>
      <c r="W4" s="384">
        <v>22</v>
      </c>
    </row>
    <row r="5" spans="1:23" s="1562" customFormat="1" ht="18" customHeight="1">
      <c r="A5" s="694"/>
      <c r="D5" s="753"/>
      <c r="E5"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577"/>
      <c r="G5" s="2578"/>
      <c r="H5" s="2578"/>
      <c r="I5" s="257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562" t="s">
        <v>380</v>
      </c>
      <c r="F7" s="2562"/>
      <c r="G7" s="2563"/>
      <c r="H7" s="2563"/>
      <c r="I7" s="2563"/>
      <c r="J7" s="2563"/>
      <c r="K7" s="2563"/>
      <c r="L7" s="2518" t="s">
        <v>381</v>
      </c>
      <c r="W7" s="384">
        <v>14</v>
      </c>
    </row>
    <row r="8" spans="1:23" ht="48.2" customHeight="1">
      <c r="D8" s="387"/>
      <c r="E8" s="410" t="s">
        <v>88</v>
      </c>
      <c r="F8" s="754"/>
      <c r="G8" s="402" t="s">
        <v>86</v>
      </c>
      <c r="H8" s="402" t="s">
        <v>87</v>
      </c>
      <c r="I8" s="351" t="s">
        <v>85</v>
      </c>
      <c r="J8" s="351" t="s">
        <v>469</v>
      </c>
      <c r="K8" s="351" t="s">
        <v>470</v>
      </c>
      <c r="L8" s="251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575" t="s">
        <v>471</v>
      </c>
      <c r="M10" s="444"/>
      <c r="N10" s="442"/>
      <c r="O10" s="442"/>
      <c r="P10" s="442"/>
      <c r="Q10" s="442"/>
      <c r="R10" s="442"/>
      <c r="S10" s="442"/>
      <c r="T10" s="442"/>
      <c r="U10" s="442"/>
      <c r="V10" s="442"/>
      <c r="W10" s="384">
        <v>0</v>
      </c>
    </row>
    <row r="11" spans="1:23" ht="15" hidden="1" customHeight="1">
      <c r="A11" s="2445"/>
      <c r="B11" s="441"/>
      <c r="C11" s="441"/>
      <c r="D11" s="796"/>
      <c r="E11" s="450"/>
      <c r="F11" s="450"/>
      <c r="G11" s="450"/>
      <c r="H11" s="450"/>
      <c r="I11" s="451"/>
      <c r="J11" s="452"/>
      <c r="K11" s="650"/>
      <c r="L11" s="2588"/>
      <c r="M11" s="448"/>
      <c r="N11" s="448"/>
      <c r="O11" s="448"/>
      <c r="P11" s="453"/>
      <c r="Q11" s="453"/>
      <c r="R11" s="454"/>
      <c r="S11" s="448"/>
      <c r="T11" s="448"/>
      <c r="U11" s="448"/>
      <c r="V11" s="448"/>
      <c r="W11" s="384">
        <v>0</v>
      </c>
    </row>
    <row r="12" spans="1:23" s="1539" customFormat="1" ht="15" customHeight="1">
      <c r="A12" s="2445"/>
      <c r="B12" s="441"/>
      <c r="C12" s="441"/>
      <c r="D12" s="797"/>
      <c r="E12" s="754">
        <v>1</v>
      </c>
      <c r="F12" s="795">
        <v>23</v>
      </c>
      <c r="G12" s="794"/>
      <c r="H12" s="724"/>
      <c r="I12" s="722"/>
      <c r="J12" s="457" t="s">
        <v>66</v>
      </c>
      <c r="K12" s="1091" t="s">
        <v>28</v>
      </c>
      <c r="L12" s="2588"/>
      <c r="M12" s="448"/>
      <c r="N12" s="448"/>
      <c r="O12" s="448"/>
      <c r="P12" s="453" t="s">
        <v>472</v>
      </c>
      <c r="Q12" s="453" t="s">
        <v>473</v>
      </c>
      <c r="R12" s="454" t="s">
        <v>474</v>
      </c>
      <c r="S12" s="448" t="s">
        <v>475</v>
      </c>
      <c r="T12" s="448"/>
      <c r="U12" s="448"/>
      <c r="V12" s="448"/>
      <c r="W12" s="417">
        <v>14</v>
      </c>
    </row>
    <row r="13" spans="1:23" ht="15.75" customHeight="1">
      <c r="A13" s="2445"/>
      <c r="B13" s="442"/>
      <c r="D13" s="443"/>
      <c r="E13" s="342"/>
      <c r="F13" s="466"/>
      <c r="G13" s="353" t="s">
        <v>110</v>
      </c>
      <c r="H13" s="341"/>
      <c r="I13" s="341"/>
      <c r="J13" s="341"/>
      <c r="K13" s="340"/>
      <c r="L13" s="257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01">
        <v>1</v>
      </c>
      <c r="F2" s="1290"/>
      <c r="G2" s="1290"/>
      <c r="H2" s="1290"/>
      <c r="I2" s="1290"/>
      <c r="J2" s="1290"/>
      <c r="K2" s="1290"/>
      <c r="L2" s="1291"/>
      <c r="M2" s="1292"/>
      <c r="N2" s="1292"/>
      <c r="O2" s="1292"/>
      <c r="P2" s="298"/>
      <c r="Q2" s="297"/>
      <c r="R2" s="292"/>
      <c r="S2" s="1236" t="e">
        <f>INDEX(PT_DIFFERENTIATION_NUM_NTAR,MATCH(A2,PT_DIFFERENTIATION_NTAR_ID,0))</f>
        <v>#N/A</v>
      </c>
      <c r="T2" s="235"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437"/>
      <c r="AP2" s="437" t="str">
        <f t="shared" ref="AP2:AP15" si="0">IF(T2="","",T2)</f>
        <v>Наименование тарифа</v>
      </c>
      <c r="AQ2" s="437"/>
      <c r="AR2" s="437"/>
      <c r="AS2" s="1082">
        <v>0</v>
      </c>
    </row>
    <row r="3" spans="1:45" ht="21" hidden="1" customHeight="1">
      <c r="A3" s="1290"/>
      <c r="B3" s="1290"/>
      <c r="C3" s="1290"/>
      <c r="D3" s="1290"/>
      <c r="E3" s="2602"/>
      <c r="F3" s="2601">
        <v>1</v>
      </c>
      <c r="G3" s="1290"/>
      <c r="H3" s="1290"/>
      <c r="I3" s="1290"/>
      <c r="J3" s="1290"/>
      <c r="K3" s="1290"/>
      <c r="L3" s="1291"/>
      <c r="M3" s="1292"/>
      <c r="N3" s="1292"/>
      <c r="O3" s="1292"/>
      <c r="P3" s="1231"/>
      <c r="Q3" s="289"/>
      <c r="R3" s="290"/>
      <c r="S3" s="1236" t="e">
        <f>INDEX(PT_DIFFERENTIATION_NUM_TER,MATCH(B3,PT_DIFFERENTIATION_TER_ID,0))</f>
        <v>#N/A</v>
      </c>
      <c r="T3" s="245"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437"/>
      <c r="AP3" s="437" t="str">
        <f t="shared" si="0"/>
        <v>Территория действия тарифа</v>
      </c>
      <c r="AQ3" s="437"/>
      <c r="AR3" s="437"/>
      <c r="AS3" s="1082">
        <v>0</v>
      </c>
    </row>
    <row r="4" spans="1:45" ht="23.25" hidden="1" customHeight="1">
      <c r="A4" s="1290"/>
      <c r="B4" s="1290"/>
      <c r="C4" s="1290"/>
      <c r="D4" s="1290"/>
      <c r="E4" s="2602"/>
      <c r="F4" s="2602"/>
      <c r="G4" s="2601">
        <v>1</v>
      </c>
      <c r="H4" s="1290"/>
      <c r="I4" s="1290"/>
      <c r="J4" s="1290"/>
      <c r="K4" s="1290"/>
      <c r="L4" s="1291"/>
      <c r="M4" s="1292"/>
      <c r="N4" s="1292"/>
      <c r="O4" s="1292"/>
      <c r="P4" s="291"/>
      <c r="Q4" s="289"/>
      <c r="R4" s="290"/>
      <c r="S4" s="1236"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02"/>
      <c r="F5" s="2602"/>
      <c r="G5" s="2602"/>
      <c r="H5" s="2601">
        <v>1</v>
      </c>
      <c r="I5" s="1290"/>
      <c r="J5" s="1290"/>
      <c r="K5" s="1290"/>
      <c r="L5" s="1291"/>
      <c r="M5" s="1292"/>
      <c r="N5" s="1292"/>
      <c r="O5" s="1292"/>
      <c r="P5" s="291"/>
      <c r="Q5" s="289"/>
      <c r="R5" s="290"/>
      <c r="S5" s="1236"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437"/>
      <c r="AP5" s="437" t="str">
        <f t="shared" si="0"/>
        <v xml:space="preserve">Источник тепловой энергии  </v>
      </c>
      <c r="AQ5" s="437"/>
      <c r="AR5" s="437"/>
      <c r="AS5" s="1082">
        <v>0</v>
      </c>
    </row>
    <row r="6" spans="1:45" ht="47.25" hidden="1" customHeight="1">
      <c r="A6" s="1290"/>
      <c r="B6" s="1290"/>
      <c r="C6" s="1290"/>
      <c r="D6" s="1290"/>
      <c r="E6" s="2602"/>
      <c r="F6" s="2602"/>
      <c r="G6" s="2602"/>
      <c r="H6" s="2602"/>
      <c r="I6" s="2603" t="e">
        <f>S5&amp;".1"</f>
        <v>#N/A</v>
      </c>
      <c r="J6" s="1290"/>
      <c r="K6" s="1290"/>
      <c r="L6" s="1291" t="s">
        <v>483</v>
      </c>
      <c r="M6" s="474"/>
      <c r="P6" s="2605">
        <v>1</v>
      </c>
      <c r="Q6" s="1232"/>
      <c r="R6" s="293"/>
      <c r="S6" s="1236" t="e">
        <f>$I6</f>
        <v>#N/A</v>
      </c>
      <c r="T6" s="222" t="s">
        <v>484</v>
      </c>
      <c r="U6" s="237"/>
      <c r="V6" s="2589"/>
      <c r="W6" s="2590"/>
      <c r="X6" s="2590"/>
      <c r="Y6" s="2590"/>
      <c r="Z6" s="2590"/>
      <c r="AA6" s="2590"/>
      <c r="AB6" s="2590"/>
      <c r="AC6" s="2591"/>
      <c r="AD6" s="2589"/>
      <c r="AE6" s="2590"/>
      <c r="AF6" s="2590"/>
      <c r="AG6" s="2590"/>
      <c r="AH6" s="2590"/>
      <c r="AI6" s="2590"/>
      <c r="AJ6" s="2590"/>
      <c r="AK6" s="2590"/>
      <c r="AL6" s="2591"/>
      <c r="AM6" s="1185" t="s">
        <v>485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02"/>
      <c r="F7" s="2602"/>
      <c r="G7" s="2602"/>
      <c r="H7" s="2602"/>
      <c r="I7" s="2604"/>
      <c r="J7" s="2603" t="e">
        <f>I6&amp;".1"</f>
        <v>#N/A</v>
      </c>
      <c r="K7" s="1290"/>
      <c r="L7" s="1291" t="s">
        <v>486</v>
      </c>
      <c r="M7" s="474"/>
      <c r="N7" s="1293"/>
      <c r="P7" s="2605"/>
      <c r="Q7" s="2605">
        <v>1</v>
      </c>
      <c r="R7" s="294"/>
      <c r="S7" s="1236"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437"/>
      <c r="AP7" s="437" t="str">
        <f t="shared" si="0"/>
        <v>Группа потребителей</v>
      </c>
      <c r="AQ7" s="437"/>
      <c r="AR7" s="437"/>
      <c r="AS7" s="1082">
        <v>0</v>
      </c>
    </row>
    <row r="8" spans="1:45" ht="21" hidden="1" customHeight="1">
      <c r="A8" s="1290"/>
      <c r="B8" s="1290"/>
      <c r="C8" s="1290"/>
      <c r="D8" s="1290"/>
      <c r="E8" s="2602"/>
      <c r="F8" s="2602"/>
      <c r="G8" s="2602"/>
      <c r="H8" s="2602"/>
      <c r="I8" s="2604"/>
      <c r="J8" s="2604"/>
      <c r="K8" s="2603" t="e">
        <f>J7&amp;".1"</f>
        <v>#N/A</v>
      </c>
      <c r="L8" s="1291" t="s">
        <v>489</v>
      </c>
      <c r="M8" s="474"/>
      <c r="N8" s="1293"/>
      <c r="O8" s="1293"/>
      <c r="P8" s="2605"/>
      <c r="Q8" s="2605"/>
      <c r="R8" s="294">
        <v>1</v>
      </c>
      <c r="S8" s="1236" t="e">
        <f>$K8</f>
        <v>#N/A</v>
      </c>
      <c r="T8" s="1274"/>
      <c r="U8" s="237"/>
      <c r="V8" s="688"/>
      <c r="W8" s="262"/>
      <c r="X8" s="688"/>
      <c r="Y8" s="1184"/>
      <c r="Z8" s="2606"/>
      <c r="AA8" s="2471" t="s">
        <v>66</v>
      </c>
      <c r="AB8" s="2606"/>
      <c r="AC8" s="2471" t="s">
        <v>66</v>
      </c>
      <c r="AD8" s="688"/>
      <c r="AE8" s="262"/>
      <c r="AF8" s="688"/>
      <c r="AG8" s="1184"/>
      <c r="AH8" s="2606"/>
      <c r="AI8" s="2471" t="s">
        <v>66</v>
      </c>
      <c r="AJ8" s="2606"/>
      <c r="AK8" s="2471" t="s">
        <v>66</v>
      </c>
      <c r="AL8" s="262"/>
      <c r="AM8" s="2624" t="s">
        <v>490</v>
      </c>
      <c r="AN8" s="448" t="e">
        <f ca="1">STRCHECKDATE(V9:AL9)</f>
        <v>#NAME?</v>
      </c>
      <c r="AO8" s="437"/>
      <c r="AP8" s="437" t="str">
        <f t="shared" si="0"/>
        <v/>
      </c>
      <c r="AQ8" s="437"/>
      <c r="AR8" s="437"/>
      <c r="AS8" s="1082">
        <v>0</v>
      </c>
    </row>
    <row r="9" spans="1:45" ht="0.75" hidden="1" customHeight="1">
      <c r="A9" s="1290"/>
      <c r="B9" s="1290"/>
      <c r="C9" s="1290"/>
      <c r="D9" s="1290"/>
      <c r="E9" s="2602"/>
      <c r="F9" s="2602"/>
      <c r="G9" s="2602"/>
      <c r="H9" s="2602"/>
      <c r="I9" s="2604"/>
      <c r="J9" s="2604"/>
      <c r="K9" s="2603"/>
      <c r="L9" s="1291"/>
      <c r="M9" s="474"/>
      <c r="N9" s="1293"/>
      <c r="O9" s="1293"/>
      <c r="P9" s="2605"/>
      <c r="Q9" s="2605"/>
      <c r="R9" s="294"/>
      <c r="S9" s="1233"/>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437"/>
      <c r="AP9" s="437" t="str">
        <f t="shared" si="0"/>
        <v/>
      </c>
      <c r="AQ9" s="437"/>
      <c r="AR9" s="437"/>
      <c r="AS9" s="1082">
        <v>0</v>
      </c>
    </row>
    <row r="10" spans="1:45" ht="15" hidden="1" customHeight="1">
      <c r="A10" s="1290"/>
      <c r="B10" s="1290"/>
      <c r="C10" s="1290"/>
      <c r="D10" s="1290"/>
      <c r="E10" s="2602"/>
      <c r="F10" s="2602"/>
      <c r="G10" s="2602"/>
      <c r="H10" s="2602"/>
      <c r="I10" s="2604"/>
      <c r="J10" s="2603"/>
      <c r="K10" s="1290"/>
      <c r="L10" s="1291"/>
      <c r="M10" s="474"/>
      <c r="N10" s="1293"/>
      <c r="P10" s="2605"/>
      <c r="Q10" s="2605"/>
      <c r="R10" s="293"/>
      <c r="S10" s="1205"/>
      <c r="T10" s="225" t="s">
        <v>491</v>
      </c>
      <c r="U10" s="304"/>
      <c r="V10" s="304"/>
      <c r="W10" s="304"/>
      <c r="X10" s="304"/>
      <c r="Y10" s="304"/>
      <c r="Z10" s="304"/>
      <c r="AA10" s="304"/>
      <c r="AB10" s="304"/>
      <c r="AC10" s="304"/>
      <c r="AD10" s="304"/>
      <c r="AE10" s="304"/>
      <c r="AF10" s="304"/>
      <c r="AG10" s="304"/>
      <c r="AH10" s="304"/>
      <c r="AI10" s="304"/>
      <c r="AJ10" s="304"/>
      <c r="AK10" s="304"/>
      <c r="AL10" s="261"/>
      <c r="AM10" s="262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02"/>
      <c r="F11" s="2602"/>
      <c r="G11" s="2602"/>
      <c r="H11" s="2602"/>
      <c r="I11" s="2603"/>
      <c r="J11" s="1290"/>
      <c r="K11" s="1290"/>
      <c r="L11" s="1291"/>
      <c r="M11" s="474"/>
      <c r="P11" s="2605"/>
      <c r="Q11" s="1232"/>
      <c r="R11" s="293"/>
      <c r="S11" s="1205"/>
      <c r="T11" s="224" t="s">
        <v>492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02"/>
      <c r="F12" s="2602"/>
      <c r="G12" s="2602"/>
      <c r="H12" s="2601"/>
      <c r="I12" s="1290"/>
      <c r="J12" s="1290"/>
      <c r="K12" s="1290"/>
      <c r="L12" s="1291"/>
      <c r="M12" s="1292"/>
      <c r="N12" s="1292"/>
      <c r="O12" s="474"/>
      <c r="P12" s="297"/>
      <c r="Q12" s="312"/>
      <c r="R12" s="292"/>
      <c r="S12" s="1205"/>
      <c r="T12" s="302" t="s">
        <v>493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02"/>
      <c r="F13" s="2602"/>
      <c r="G13" s="2601"/>
      <c r="H13" s="1241"/>
      <c r="I13" s="1241"/>
      <c r="J13" s="1241"/>
      <c r="K13" s="1241"/>
      <c r="L13" s="1266"/>
      <c r="M13" s="1242"/>
      <c r="N13" s="124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02"/>
      <c r="F14" s="2601"/>
      <c r="G14" s="1241"/>
      <c r="H14" s="1241"/>
      <c r="I14" s="1241"/>
      <c r="J14" s="1241"/>
      <c r="K14" s="1241"/>
      <c r="L14" s="1266"/>
      <c r="M14" s="1248"/>
      <c r="N14" s="124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01"/>
      <c r="F15" s="1241"/>
      <c r="G15" s="1241"/>
      <c r="H15" s="1241"/>
      <c r="I15" s="1241"/>
      <c r="J15" s="1241"/>
      <c r="K15" s="1241"/>
      <c r="L15" s="1266"/>
      <c r="M15" s="1248"/>
      <c r="N15" s="124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599"/>
      <c r="AI17" s="2598" t="s">
        <v>66</v>
      </c>
      <c r="AJ17" s="2599"/>
      <c r="AK17" s="2598" t="s">
        <v>66</v>
      </c>
      <c r="AS17" s="1082">
        <v>0</v>
      </c>
    </row>
    <row r="18" spans="1:45" ht="14.25" hidden="1" customHeight="1">
      <c r="P18" s="1238"/>
      <c r="AD18" s="1287"/>
      <c r="AE18" s="1287"/>
      <c r="AF18" s="1287"/>
      <c r="AG18" s="265" t="str">
        <f>AH17&amp;"-"&amp;AJ17</f>
        <v>-</v>
      </c>
      <c r="AH18" s="2598"/>
      <c r="AI18" s="2598"/>
      <c r="AJ18" s="2598"/>
      <c r="AK18" s="2598"/>
      <c r="AS18" s="1082">
        <v>0</v>
      </c>
    </row>
    <row r="19" spans="1:45" ht="14.25" hidden="1" customHeight="1">
      <c r="P19" s="1238"/>
      <c r="AK19" s="264"/>
      <c r="AS19" s="1082">
        <v>0</v>
      </c>
    </row>
    <row r="20" spans="1:45" s="1293" customFormat="1" ht="22.5" hidden="1" customHeight="1">
      <c r="L20" s="1256"/>
      <c r="M20" s="1289"/>
      <c r="N20" s="1289"/>
      <c r="O20" s="1294" t="s">
        <v>495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496</v>
      </c>
      <c r="P22" s="1289"/>
      <c r="Q22" s="1298"/>
      <c r="R22" s="1298"/>
      <c r="S22" s="666"/>
      <c r="T22" s="1087" t="s">
        <v>497</v>
      </c>
      <c r="AA22" s="123" t="s">
        <v>498</v>
      </c>
      <c r="AC22" s="123" t="s">
        <v>499</v>
      </c>
      <c r="AD22" s="1087" t="s">
        <v>497</v>
      </c>
      <c r="AI22" s="123" t="s">
        <v>500</v>
      </c>
      <c r="AK22" s="123" t="s">
        <v>499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5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82"/>
      <c r="U26" s="2582"/>
      <c r="V26" s="2582"/>
      <c r="W26" s="2582"/>
      <c r="X26" s="2582"/>
      <c r="Y26" s="2582"/>
      <c r="Z26" s="2582"/>
      <c r="AA26" s="2582"/>
      <c r="AB26" s="2582"/>
      <c r="AC26" s="2582"/>
      <c r="AD26" s="2582"/>
      <c r="AE26" s="2582"/>
      <c r="AF26" s="2582"/>
      <c r="AG26" s="2582"/>
      <c r="AH26" s="2582"/>
      <c r="AI26" s="2582"/>
      <c r="AJ26" s="2582"/>
      <c r="AK26" s="1170"/>
      <c r="AS26" s="1082">
        <v>14</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263"/>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92" t="s">
        <v>501</v>
      </c>
      <c r="T30" s="2592"/>
      <c r="U30" s="1299"/>
      <c r="V30" s="2593">
        <f>IF(TITLE_DATE_PR_CHANGE="",IF(TITLE_DATE_PR="","",TITLE_DATE_PR),TITLE_DATE_PR_CHANGE)</f>
        <v>45596.468541666669</v>
      </c>
      <c r="W30" s="2593"/>
      <c r="X30" s="2593"/>
      <c r="Y30" s="2593"/>
      <c r="Z30" s="2593"/>
      <c r="AA30" s="2593"/>
      <c r="AB30" s="2593"/>
      <c r="AC30" s="263"/>
      <c r="AD30" s="2593">
        <f>IF(TITLE_DATE_PR_CHANGE="",IF(TITLE_DATE_PR="","",TITLE_DATE_PR),TITLE_DATE_PR_CHANGE)</f>
        <v>45596.468541666669</v>
      </c>
      <c r="AE30" s="2593"/>
      <c r="AF30" s="2593"/>
      <c r="AG30" s="2593"/>
      <c r="AH30" s="2593"/>
      <c r="AI30" s="2593"/>
      <c r="AJ30" s="2593"/>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92" t="s">
        <v>502</v>
      </c>
      <c r="T31" s="2592"/>
      <c r="U31" s="1299"/>
      <c r="V31" s="2594" t="str">
        <f>IF(TITLE_NUMBER_PR_CHANGE="",IF(TITLE_NUMBER_PR="","",TITLE_NUMBER_PR),TITLE_NUMBER_PR_CHANGE)</f>
        <v>440,503</v>
      </c>
      <c r="W31" s="2594"/>
      <c r="X31" s="2594"/>
      <c r="Y31" s="2594"/>
      <c r="Z31" s="2594"/>
      <c r="AA31" s="2594"/>
      <c r="AB31" s="2594"/>
      <c r="AC31" s="263"/>
      <c r="AD31" s="2594" t="str">
        <f>IF(TITLE_NUMBER_PR_CHANGE="",IF(TITLE_NUMBER_PR="","",TITLE_NUMBER_PR),TITLE_NUMBER_PR_CHANGE)</f>
        <v>440,503</v>
      </c>
      <c r="AE31" s="2594"/>
      <c r="AF31" s="2594"/>
      <c r="AG31" s="2594"/>
      <c r="AH31" s="2594"/>
      <c r="AI31" s="2594"/>
      <c r="AJ31" s="2594"/>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263"/>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92" t="s">
        <v>503</v>
      </c>
      <c r="T34" s="2592"/>
      <c r="U34" s="1299"/>
      <c r="V34" s="2593">
        <f>IF(TITLE_DATE_PR_CHANGE="",IF(TITLE_DATE_PR="","",TITLE_DATE_PR),TITLE_DATE_PR_CHANGE)</f>
        <v>45596.468541666669</v>
      </c>
      <c r="W34" s="2593"/>
      <c r="X34" s="2593"/>
      <c r="Y34" s="2593"/>
      <c r="Z34" s="2593"/>
      <c r="AA34" s="2593"/>
      <c r="AB34" s="2593"/>
      <c r="AC34" s="263"/>
      <c r="AD34" s="2593">
        <f>IF(TITLE_DATE_PR_CHANGE="",IF(TITLE_DATE_PR="","",TITLE_DATE_PR),TITLE_DATE_PR_CHANGE)</f>
        <v>45596.468541666669</v>
      </c>
      <c r="AE34" s="2593"/>
      <c r="AF34" s="2593"/>
      <c r="AG34" s="2593"/>
      <c r="AH34" s="2593"/>
      <c r="AI34" s="2593"/>
      <c r="AJ34" s="259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92" t="s">
        <v>504</v>
      </c>
      <c r="T35" s="2592"/>
      <c r="U35" s="1299"/>
      <c r="V35" s="2594" t="str">
        <f>IF(TITLE_NUMBER_PR_CHANGE="",IF(TITLE_NUMBER_PR="","",TITLE_NUMBER_PR),TITLE_NUMBER_PR_CHANGE)</f>
        <v>440,503</v>
      </c>
      <c r="W35" s="2594"/>
      <c r="X35" s="2594"/>
      <c r="Y35" s="2594"/>
      <c r="Z35" s="2594"/>
      <c r="AA35" s="2594"/>
      <c r="AB35" s="2594"/>
      <c r="AC35" s="263"/>
      <c r="AD35" s="2594" t="str">
        <f>IF(TITLE_NUMBER_PR_CHANGE="",IF(TITLE_NUMBER_PR="","",TITLE_NUMBER_PR),TITLE_NUMBER_PR_CHANGE)</f>
        <v>440,503</v>
      </c>
      <c r="AE35" s="2594"/>
      <c r="AF35" s="2594"/>
      <c r="AG35" s="2594"/>
      <c r="AH35" s="2594"/>
      <c r="AI35" s="2594"/>
      <c r="AJ35" s="259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505</v>
      </c>
      <c r="AD36" s="263"/>
      <c r="AE36" s="263"/>
      <c r="AF36" s="263"/>
      <c r="AG36" s="263"/>
      <c r="AH36" s="263"/>
      <c r="AI36" s="263"/>
      <c r="AJ36" s="263"/>
      <c r="AK36" s="215" t="s">
        <v>505</v>
      </c>
      <c r="AN36" s="305"/>
      <c r="AO36" s="305"/>
      <c r="AP36" s="305"/>
      <c r="AQ36" s="305"/>
      <c r="AR36" s="305"/>
      <c r="AS36" s="355">
        <v>0</v>
      </c>
    </row>
    <row r="37" spans="1:45" ht="14.65" customHeight="1">
      <c r="Q37" s="313"/>
      <c r="R37" s="313"/>
      <c r="S37" s="1202"/>
      <c r="T37" s="300"/>
      <c r="U37" s="1171"/>
      <c r="V37" s="2613"/>
      <c r="W37" s="2613"/>
      <c r="X37" s="2613"/>
      <c r="Y37" s="2613"/>
      <c r="Z37" s="2613"/>
      <c r="AA37" s="2613"/>
      <c r="AB37" s="2613"/>
      <c r="AC37" s="2613"/>
      <c r="AD37" s="2613"/>
      <c r="AE37" s="2613"/>
      <c r="AF37" s="2613"/>
      <c r="AG37" s="2613"/>
      <c r="AH37" s="2613"/>
      <c r="AI37" s="2613"/>
      <c r="AJ37" s="2613"/>
      <c r="AK37" s="2613"/>
      <c r="AS37" s="1082">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082">
        <v>14</v>
      </c>
    </row>
    <row r="39" spans="1:45" ht="14.65" customHeight="1">
      <c r="Q39" s="313"/>
      <c r="R39" s="313"/>
      <c r="S39" s="2614" t="s">
        <v>88</v>
      </c>
      <c r="T39" s="2563" t="s">
        <v>506</v>
      </c>
      <c r="U39" s="238"/>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082">
        <v>14</v>
      </c>
    </row>
    <row r="40" spans="1:45" ht="35.65" customHeight="1">
      <c r="Q40" s="313"/>
      <c r="R40" s="313"/>
      <c r="S40" s="2614"/>
      <c r="T40" s="2563"/>
      <c r="U40" s="961"/>
      <c r="V40" s="2535" t="s">
        <v>511</v>
      </c>
      <c r="W40" s="2610" t="s">
        <v>512</v>
      </c>
      <c r="X40" s="2442" t="s">
        <v>513</v>
      </c>
      <c r="Y40" s="2441"/>
      <c r="Z40" s="2442" t="s">
        <v>514</v>
      </c>
      <c r="AA40" s="2448"/>
      <c r="AB40" s="2441"/>
      <c r="AC40" s="2619"/>
      <c r="AD40" s="2535" t="s">
        <v>511</v>
      </c>
      <c r="AE40" s="2610" t="s">
        <v>512</v>
      </c>
      <c r="AF40" s="2442" t="s">
        <v>513</v>
      </c>
      <c r="AG40" s="2441"/>
      <c r="AH40" s="2442" t="s">
        <v>514</v>
      </c>
      <c r="AI40" s="2448"/>
      <c r="AJ40" s="2441"/>
      <c r="AK40" s="2619"/>
      <c r="AL40" s="2622"/>
      <c r="AM40" s="2461"/>
      <c r="AS40" s="1082">
        <v>34</v>
      </c>
    </row>
    <row r="41" spans="1:45" ht="35.65" customHeight="1">
      <c r="A41" s="1297"/>
      <c r="B41" s="1297" t="s">
        <v>201</v>
      </c>
      <c r="C41" s="1297" t="s">
        <v>202</v>
      </c>
      <c r="D41" s="1297" t="s">
        <v>203</v>
      </c>
      <c r="E41" s="1291" t="s">
        <v>515</v>
      </c>
      <c r="F41" s="1291" t="s">
        <v>516</v>
      </c>
      <c r="G41" s="1291" t="s">
        <v>517</v>
      </c>
      <c r="H41" s="1291" t="s">
        <v>518</v>
      </c>
      <c r="I41" s="1291" t="s">
        <v>519</v>
      </c>
      <c r="J41" s="1291" t="s">
        <v>520</v>
      </c>
      <c r="K41" s="1291" t="s">
        <v>521</v>
      </c>
      <c r="L41" s="1291" t="s">
        <v>496</v>
      </c>
      <c r="Q41" s="313"/>
      <c r="R41" s="313"/>
      <c r="S41" s="2614"/>
      <c r="T41" s="2563"/>
      <c r="U41" s="239"/>
      <c r="V41" s="2587"/>
      <c r="W41" s="2611"/>
      <c r="X41" s="1149" t="s">
        <v>522</v>
      </c>
      <c r="Y41" s="1149" t="s">
        <v>523</v>
      </c>
      <c r="Z41" s="1148" t="s">
        <v>524</v>
      </c>
      <c r="AA41" s="2568" t="s">
        <v>525</v>
      </c>
      <c r="AB41" s="2581"/>
      <c r="AC41" s="2620"/>
      <c r="AD41" s="2587"/>
      <c r="AE41" s="2611"/>
      <c r="AF41" s="1149" t="s">
        <v>522</v>
      </c>
      <c r="AG41" s="1149" t="s">
        <v>523</v>
      </c>
      <c r="AH41" s="1240" t="s">
        <v>524</v>
      </c>
      <c r="AI41" s="2568" t="s">
        <v>525</v>
      </c>
      <c r="AJ41" s="2581"/>
      <c r="AK41" s="2620"/>
      <c r="AL41" s="2623"/>
      <c r="AM41" s="246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177</v>
      </c>
      <c r="T42" s="1182" t="s">
        <v>102</v>
      </c>
      <c r="U42" s="1172" t="str">
        <f ca="1">OFFSET(U42,0,-1)</f>
        <v>2</v>
      </c>
      <c r="V42" s="1183">
        <f ca="1">OFFSET(V42,0,-1)+1</f>
        <v>3</v>
      </c>
      <c r="W42" s="1183"/>
      <c r="X42" s="1183">
        <f ca="1">OFFSET(X42,0,-1)+1</f>
        <v>1</v>
      </c>
      <c r="Y42" s="1183">
        <f ca="1">OFFSET(Y42,0,-1)+1</f>
        <v>2</v>
      </c>
      <c r="Z42" s="1183">
        <f ca="1">OFFSET(Z42,0,-1)+1</f>
        <v>3</v>
      </c>
      <c r="AA42" s="2612">
        <f ca="1">OFFSET(AA42,0,-1)+1</f>
        <v>4</v>
      </c>
      <c r="AB42" s="2612"/>
      <c r="AC42" s="1183">
        <f ca="1">OFFSET(AC42,0,-2)+1</f>
        <v>5</v>
      </c>
      <c r="AD42" s="1239">
        <f ca="1">OFFSET(AD42,0,-1)+1</f>
        <v>6</v>
      </c>
      <c r="AE42" s="1239"/>
      <c r="AF42" s="1239">
        <f ca="1">OFFSET(AF42,0,-1)+1</f>
        <v>1</v>
      </c>
      <c r="AG42" s="1239">
        <f ca="1">OFFSET(AG42,0,-1)+1</f>
        <v>2</v>
      </c>
      <c r="AH42" s="1239">
        <f ca="1">OFFSET(AH42,0,-1)+1</f>
        <v>3</v>
      </c>
      <c r="AI42" s="2612">
        <f ca="1">OFFSET(AI42,0,-1)+1</f>
        <v>4</v>
      </c>
      <c r="AJ42" s="2612"/>
      <c r="AK42" s="1239">
        <f ca="1">OFFSET(AK42,0,-2)+1</f>
        <v>5</v>
      </c>
      <c r="AL42" s="1172">
        <f ca="1">OFFSET(AL42,0,-1)</f>
        <v>5</v>
      </c>
      <c r="AM42" s="1183">
        <f ca="1">OFFSET(AM42,0,-1)+1</f>
        <v>6</v>
      </c>
      <c r="AN42" s="448"/>
      <c r="AO42" s="448"/>
      <c r="AP42" s="448"/>
      <c r="AQ42" s="448"/>
      <c r="AR42" s="448"/>
      <c r="AS42" s="433">
        <v>0</v>
      </c>
    </row>
    <row r="43" spans="1:45" ht="24" customHeight="1">
      <c r="A43" s="1290" t="s">
        <v>222</v>
      </c>
      <c r="B43" s="1290"/>
      <c r="C43" s="1290"/>
      <c r="D43" s="1290"/>
      <c r="E43" s="260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222</v>
      </c>
      <c r="B44" s="1290" t="s">
        <v>223</v>
      </c>
      <c r="C44" s="1290"/>
      <c r="D44" s="1290"/>
      <c r="E44" s="2602"/>
      <c r="F44" s="2601">
        <v>1</v>
      </c>
      <c r="G44" s="1290"/>
      <c r="H44" s="1290"/>
      <c r="I44" s="1290"/>
      <c r="J44" s="1290"/>
      <c r="K44" s="1290"/>
      <c r="L44" s="1291"/>
      <c r="M44" s="1292"/>
      <c r="N44" s="1292"/>
      <c r="O44" s="1292"/>
      <c r="P44" s="459"/>
      <c r="Q44" s="289"/>
      <c r="R44" s="290"/>
      <c r="S44" s="1151" t="str">
        <f>INDEX(PT_DIFFERENTIATION_NUM_TER,MATCH(B44,PT_DIFFERENTIATION_TER_ID,0))</f>
        <v>.</v>
      </c>
      <c r="T44" s="245"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437"/>
      <c r="AP44" s="437" t="str">
        <f t="shared" si="1"/>
        <v>Территория действия тарифа</v>
      </c>
      <c r="AQ44" s="437"/>
      <c r="AR44" s="437"/>
      <c r="AS44" s="1082">
        <v>23</v>
      </c>
    </row>
    <row r="45" spans="1:45" ht="24" customHeight="1">
      <c r="A45" s="1290" t="s">
        <v>222</v>
      </c>
      <c r="B45" s="1290" t="s">
        <v>223</v>
      </c>
      <c r="C45" s="1290" t="s">
        <v>224</v>
      </c>
      <c r="D45" s="1290"/>
      <c r="E45" s="2602"/>
      <c r="F45" s="2602"/>
      <c r="G45" s="2601">
        <v>1</v>
      </c>
      <c r="H45" s="1290"/>
      <c r="I45" s="1290"/>
      <c r="J45" s="1290"/>
      <c r="K45" s="1290"/>
      <c r="L45" s="1291"/>
      <c r="M45" s="1292"/>
      <c r="N45" s="1292"/>
      <c r="O45" s="1292"/>
      <c r="P45" s="291"/>
      <c r="Q45" s="289"/>
      <c r="R45" s="290"/>
      <c r="S45" s="1151"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437"/>
      <c r="AP45" s="437" t="str">
        <f t="shared" si="1"/>
        <v xml:space="preserve">Наименование системы теплоснабжения </v>
      </c>
      <c r="AQ45" s="437"/>
      <c r="AR45" s="437"/>
      <c r="AS45" s="1082">
        <v>23</v>
      </c>
    </row>
    <row r="46" spans="1:45" ht="24" customHeight="1">
      <c r="A46" s="1290" t="s">
        <v>222</v>
      </c>
      <c r="B46" s="1290" t="s">
        <v>223</v>
      </c>
      <c r="C46" s="1290" t="s">
        <v>224</v>
      </c>
      <c r="D46" s="1290" t="s">
        <v>225</v>
      </c>
      <c r="E46" s="2602"/>
      <c r="F46" s="2602"/>
      <c r="G46" s="2602"/>
      <c r="H46" s="2601">
        <v>1</v>
      </c>
      <c r="I46" s="1290"/>
      <c r="J46" s="1290"/>
      <c r="K46" s="1290"/>
      <c r="L46" s="1291"/>
      <c r="M46" s="1292"/>
      <c r="N46" s="1292"/>
      <c r="O46" s="1292"/>
      <c r="P46" s="291"/>
      <c r="Q46" s="289"/>
      <c r="R46" s="290"/>
      <c r="S46" s="1151"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437"/>
      <c r="AP46" s="437" t="str">
        <f t="shared" si="1"/>
        <v xml:space="preserve">Источник тепловой энергии  </v>
      </c>
      <c r="AQ46" s="437"/>
      <c r="AR46" s="437"/>
      <c r="AS46" s="1082">
        <v>23</v>
      </c>
    </row>
    <row r="47" spans="1:45" ht="49.5" customHeight="1">
      <c r="A47" s="1290" t="s">
        <v>222</v>
      </c>
      <c r="B47" s="1290" t="s">
        <v>223</v>
      </c>
      <c r="C47" s="1290" t="s">
        <v>224</v>
      </c>
      <c r="D47" s="1290" t="s">
        <v>225</v>
      </c>
      <c r="E47" s="2602"/>
      <c r="F47" s="2602"/>
      <c r="G47" s="2602"/>
      <c r="H47" s="2602"/>
      <c r="I47" s="2603" t="str">
        <f>S46&amp;".1"</f>
        <v>....1</v>
      </c>
      <c r="J47" s="1290"/>
      <c r="K47" s="1290"/>
      <c r="L47" s="1291" t="s">
        <v>483</v>
      </c>
      <c r="P47" s="2605">
        <v>1</v>
      </c>
      <c r="Q47" s="1147"/>
      <c r="R47" s="293"/>
      <c r="S47" s="1151" t="str">
        <f>$I47</f>
        <v>....1</v>
      </c>
      <c r="T47" s="222" t="s">
        <v>484</v>
      </c>
      <c r="U47" s="237"/>
      <c r="V47" s="2589"/>
      <c r="W47" s="2590"/>
      <c r="X47" s="2590"/>
      <c r="Y47" s="2590"/>
      <c r="Z47" s="2590"/>
      <c r="AA47" s="2590"/>
      <c r="AB47" s="2590"/>
      <c r="AC47" s="2591"/>
      <c r="AD47" s="2589"/>
      <c r="AE47" s="2590"/>
      <c r="AF47" s="2590"/>
      <c r="AG47" s="2590"/>
      <c r="AH47" s="2590"/>
      <c r="AI47" s="2590"/>
      <c r="AJ47" s="2590"/>
      <c r="AK47" s="2590"/>
      <c r="AL47" s="2591"/>
      <c r="AM47" s="1185" t="s">
        <v>485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222</v>
      </c>
      <c r="B48" s="1290" t="s">
        <v>223</v>
      </c>
      <c r="C48" s="1290" t="s">
        <v>224</v>
      </c>
      <c r="D48" s="1290" t="s">
        <v>225</v>
      </c>
      <c r="E48" s="2602"/>
      <c r="F48" s="2602"/>
      <c r="G48" s="2602"/>
      <c r="H48" s="2602"/>
      <c r="I48" s="2604"/>
      <c r="J48" s="2603" t="str">
        <f>I47&amp;".1"</f>
        <v>....1.1</v>
      </c>
      <c r="K48" s="1290"/>
      <c r="L48" s="1291" t="s">
        <v>486</v>
      </c>
      <c r="P48" s="2605"/>
      <c r="Q48" s="2605">
        <v>1</v>
      </c>
      <c r="R48" s="294"/>
      <c r="S48" s="1151" t="str">
        <f>$J48</f>
        <v>....1.1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437"/>
      <c r="AP48" s="437" t="str">
        <f t="shared" si="1"/>
        <v>Группа потребителей</v>
      </c>
      <c r="AQ48" s="437"/>
      <c r="AR48" s="437"/>
      <c r="AS48" s="1082">
        <v>23</v>
      </c>
    </row>
    <row r="49" spans="1:45" ht="24" customHeight="1">
      <c r="A49" s="1290" t="s">
        <v>222</v>
      </c>
      <c r="B49" s="1290" t="s">
        <v>223</v>
      </c>
      <c r="C49" s="1290" t="s">
        <v>224</v>
      </c>
      <c r="D49" s="1290" t="s">
        <v>225</v>
      </c>
      <c r="E49" s="2602"/>
      <c r="F49" s="2602"/>
      <c r="G49" s="2602"/>
      <c r="H49" s="2602"/>
      <c r="I49" s="2604"/>
      <c r="J49" s="2604"/>
      <c r="K49" s="2603" t="str">
        <f>J48&amp;".1"</f>
        <v>....1.1.1</v>
      </c>
      <c r="L49" s="1291" t="s">
        <v>489</v>
      </c>
      <c r="P49" s="2605"/>
      <c r="Q49" s="2605"/>
      <c r="R49" s="294">
        <v>1</v>
      </c>
      <c r="S49" s="1151" t="str">
        <f>$K49</f>
        <v>....1.1.1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490</v>
      </c>
      <c r="AN49" s="448" t="e">
        <f ca="1">STRCHECKDATE(V50:AL50)</f>
        <v>#NAME?</v>
      </c>
      <c r="AO49" s="437"/>
      <c r="AP49" s="437" t="str">
        <f t="shared" si="1"/>
        <v/>
      </c>
      <c r="AQ49" s="437"/>
      <c r="AR49" s="437"/>
      <c r="AS49" s="1082">
        <v>23</v>
      </c>
    </row>
    <row r="50" spans="1:45" ht="1.1499999999999999" customHeight="1">
      <c r="A50" s="1290" t="s">
        <v>222</v>
      </c>
      <c r="B50" s="1290" t="s">
        <v>223</v>
      </c>
      <c r="C50" s="1290" t="s">
        <v>224</v>
      </c>
      <c r="D50" s="1290" t="s">
        <v>225</v>
      </c>
      <c r="E50" s="2602"/>
      <c r="F50" s="2602"/>
      <c r="G50" s="2602"/>
      <c r="H50" s="2602"/>
      <c r="I50" s="2604"/>
      <c r="J50" s="2604"/>
      <c r="K50" s="2603"/>
      <c r="L50" s="1291"/>
      <c r="P50" s="2605"/>
      <c r="Q50" s="2605"/>
      <c r="R50" s="294"/>
      <c r="S50" s="1150"/>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437"/>
      <c r="AP50" s="437" t="str">
        <f t="shared" si="1"/>
        <v/>
      </c>
      <c r="AQ50" s="437"/>
      <c r="AR50" s="437"/>
      <c r="AS50" s="1082">
        <v>1</v>
      </c>
    </row>
    <row r="51" spans="1:45" ht="11.45" customHeight="1">
      <c r="A51" s="1290" t="s">
        <v>222</v>
      </c>
      <c r="B51" s="1290" t="s">
        <v>223</v>
      </c>
      <c r="C51" s="1290" t="s">
        <v>224</v>
      </c>
      <c r="D51" s="1290" t="s">
        <v>225</v>
      </c>
      <c r="E51" s="2602"/>
      <c r="F51" s="2602"/>
      <c r="G51" s="2602"/>
      <c r="H51" s="2602"/>
      <c r="I51" s="2604"/>
      <c r="J51" s="2603"/>
      <c r="K51" s="1290"/>
      <c r="L51" s="1291"/>
      <c r="P51" s="2605"/>
      <c r="Q51" s="2605"/>
      <c r="R51" s="293"/>
      <c r="S51" s="1205"/>
      <c r="T51" s="225" t="s">
        <v>491</v>
      </c>
      <c r="U51" s="304"/>
      <c r="V51" s="304"/>
      <c r="W51" s="304"/>
      <c r="X51" s="304"/>
      <c r="Y51" s="304"/>
      <c r="Z51" s="304"/>
      <c r="AA51" s="304"/>
      <c r="AB51" s="304"/>
      <c r="AC51" s="304"/>
      <c r="AD51" s="304"/>
      <c r="AE51" s="304"/>
      <c r="AF51" s="304"/>
      <c r="AG51" s="304"/>
      <c r="AH51" s="304"/>
      <c r="AI51" s="304"/>
      <c r="AJ51" s="304"/>
      <c r="AK51" s="304"/>
      <c r="AL51" s="261"/>
      <c r="AM51" s="2626"/>
      <c r="AO51" s="437"/>
      <c r="AP51" s="437" t="str">
        <f t="shared" si="1"/>
        <v>Добавить вид теплоносителя (параметры теплоносителя)</v>
      </c>
      <c r="AQ51" s="437"/>
      <c r="AR51" s="437"/>
      <c r="AS51" s="1082">
        <v>11</v>
      </c>
    </row>
    <row r="52" spans="1:45" ht="11.45" customHeight="1">
      <c r="A52" s="1290" t="s">
        <v>222</v>
      </c>
      <c r="B52" s="1290" t="s">
        <v>223</v>
      </c>
      <c r="C52" s="1290" t="s">
        <v>224</v>
      </c>
      <c r="D52" s="1290" t="s">
        <v>225</v>
      </c>
      <c r="E52" s="2602"/>
      <c r="F52" s="2602"/>
      <c r="G52" s="2602"/>
      <c r="H52" s="2602"/>
      <c r="I52" s="2603"/>
      <c r="J52" s="1290"/>
      <c r="K52" s="1290"/>
      <c r="L52" s="1291"/>
      <c r="P52" s="2605"/>
      <c r="Q52" s="1147"/>
      <c r="R52" s="293"/>
      <c r="S52" s="1205"/>
      <c r="T52" s="224" t="s">
        <v>492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222</v>
      </c>
      <c r="B53" s="1290" t="s">
        <v>223</v>
      </c>
      <c r="C53" s="1290" t="s">
        <v>224</v>
      </c>
      <c r="D53" s="1290" t="s">
        <v>225</v>
      </c>
      <c r="E53" s="2602"/>
      <c r="F53" s="2602"/>
      <c r="G53" s="2602"/>
      <c r="H53" s="2601"/>
      <c r="I53" s="1290"/>
      <c r="J53" s="1290"/>
      <c r="K53" s="1290"/>
      <c r="L53" s="1291"/>
      <c r="M53" s="1292"/>
      <c r="N53" s="1292"/>
      <c r="O53" s="474"/>
      <c r="P53" s="297"/>
      <c r="Q53" s="312"/>
      <c r="R53" s="292"/>
      <c r="S53" s="1205"/>
      <c r="T53" s="302" t="s">
        <v>493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222</v>
      </c>
      <c r="B54" s="1270" t="s">
        <v>223</v>
      </c>
      <c r="C54" s="1270" t="s">
        <v>224</v>
      </c>
      <c r="D54" s="1241"/>
      <c r="E54" s="2602"/>
      <c r="F54" s="2602"/>
      <c r="G54" s="2601"/>
      <c r="H54" s="1241"/>
      <c r="I54" s="1241"/>
      <c r="J54" s="1241"/>
      <c r="K54" s="1241"/>
      <c r="L54" s="1266"/>
      <c r="M54" s="1242"/>
      <c r="N54" s="124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222</v>
      </c>
      <c r="B55" s="1270" t="s">
        <v>223</v>
      </c>
      <c r="C55" s="1241"/>
      <c r="D55" s="1241"/>
      <c r="E55" s="2602"/>
      <c r="F55" s="2601"/>
      <c r="G55" s="1241"/>
      <c r="H55" s="1241"/>
      <c r="I55" s="1241"/>
      <c r="J55" s="1241"/>
      <c r="K55" s="1241"/>
      <c r="L55" s="1266"/>
      <c r="M55" s="1248"/>
      <c r="N55" s="124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222</v>
      </c>
      <c r="B56" s="1270"/>
      <c r="C56" s="1270"/>
      <c r="D56" s="1270"/>
      <c r="E56" s="2601"/>
      <c r="F56" s="1270"/>
      <c r="G56" s="1270"/>
      <c r="H56" s="1270"/>
      <c r="I56" s="1270"/>
      <c r="J56" s="1270"/>
      <c r="K56" s="1270"/>
      <c r="L56" s="1273"/>
      <c r="M56" s="1248"/>
      <c r="N56" s="1248"/>
      <c r="O56" s="455"/>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2">
        <v>27</v>
      </c>
    </row>
    <row r="60" spans="1:45" ht="67.150000000000006" customHeight="1">
      <c r="O60" s="474"/>
      <c r="P60" s="1230"/>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2">
        <v>64</v>
      </c>
    </row>
    <row r="61" spans="1:45" ht="14.65" customHeight="1">
      <c r="O61" s="474"/>
      <c r="AS61" s="1082">
        <v>14</v>
      </c>
    </row>
    <row r="62" spans="1:45" ht="18.75" customHeight="1">
      <c r="O62" s="474"/>
      <c r="P62" s="1255"/>
      <c r="S62" s="1180"/>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082">
        <v>18</v>
      </c>
    </row>
    <row r="63" spans="1:45" ht="18.75" customHeight="1">
      <c r="O63" s="474"/>
      <c r="P63" s="1255"/>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082">
        <v>18</v>
      </c>
    </row>
    <row r="64" spans="1:45" ht="29.25" customHeight="1">
      <c r="O64" s="474"/>
      <c r="P64" s="1255"/>
      <c r="S64" s="1180"/>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01">
        <v>1</v>
      </c>
      <c r="F2" s="1290"/>
      <c r="G2" s="1290"/>
      <c r="H2" s="1290"/>
      <c r="I2" s="1290"/>
      <c r="J2" s="1290"/>
      <c r="K2" s="1290"/>
      <c r="L2" s="1291"/>
      <c r="M2" s="1292"/>
      <c r="N2" s="1292"/>
      <c r="O2" s="1292"/>
      <c r="P2" s="298"/>
      <c r="Q2" s="297"/>
      <c r="R2" s="292"/>
      <c r="S2" s="1263" t="e">
        <f>INDEX(PT_DIFFERENTIATION_NUM_NTAR,MATCH(A2,PT_DIFFERENTIATION_NTAR_ID,0))</f>
        <v>#N/A</v>
      </c>
      <c r="T2" s="235"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437"/>
      <c r="AP2" s="437" t="str">
        <f t="shared" ref="AP2:AP15" si="0">IF(T2="","",T2)</f>
        <v>Наименование тарифа</v>
      </c>
      <c r="AQ2" s="437"/>
      <c r="AR2" s="437"/>
      <c r="AS2" s="1082">
        <v>0</v>
      </c>
    </row>
    <row r="3" spans="1:45" ht="21" hidden="1" customHeight="1">
      <c r="A3" s="1290"/>
      <c r="B3" s="1290"/>
      <c r="C3" s="1290"/>
      <c r="D3" s="1290"/>
      <c r="E3" s="2602"/>
      <c r="F3" s="2601">
        <v>1</v>
      </c>
      <c r="G3" s="1290"/>
      <c r="H3" s="1290"/>
      <c r="I3" s="1290"/>
      <c r="J3" s="1290"/>
      <c r="K3" s="1290"/>
      <c r="L3" s="1291"/>
      <c r="M3" s="1292"/>
      <c r="N3" s="1292"/>
      <c r="O3" s="1292"/>
      <c r="P3" s="1259"/>
      <c r="Q3" s="289"/>
      <c r="R3" s="290"/>
      <c r="S3" s="1263" t="e">
        <f>INDEX(PT_DIFFERENTIATION_NUM_TER,MATCH(B3,PT_DIFFERENTIATION_TER_ID,0))</f>
        <v>#N/A</v>
      </c>
      <c r="T3" s="245"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437"/>
      <c r="AP3" s="437" t="str">
        <f t="shared" si="0"/>
        <v>Территория действия тарифа</v>
      </c>
      <c r="AQ3" s="437"/>
      <c r="AR3" s="437"/>
      <c r="AS3" s="1082">
        <v>0</v>
      </c>
    </row>
    <row r="4" spans="1:45" ht="23.25" hidden="1" customHeight="1">
      <c r="A4" s="1290"/>
      <c r="B4" s="1290"/>
      <c r="C4" s="1290"/>
      <c r="D4" s="1290"/>
      <c r="E4" s="2602"/>
      <c r="F4" s="2602"/>
      <c r="G4" s="2601">
        <v>1</v>
      </c>
      <c r="H4" s="1290"/>
      <c r="I4" s="1290"/>
      <c r="J4" s="1290"/>
      <c r="K4" s="1290"/>
      <c r="L4" s="1291"/>
      <c r="M4" s="1292"/>
      <c r="N4" s="1292"/>
      <c r="O4" s="1292"/>
      <c r="P4" s="291"/>
      <c r="Q4" s="289"/>
      <c r="R4" s="290"/>
      <c r="S4" s="1263"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02"/>
      <c r="F5" s="2602"/>
      <c r="G5" s="2602"/>
      <c r="H5" s="2601">
        <v>1</v>
      </c>
      <c r="I5" s="1290"/>
      <c r="J5" s="1290"/>
      <c r="K5" s="1290"/>
      <c r="L5" s="1291"/>
      <c r="M5" s="1292"/>
      <c r="N5" s="1292"/>
      <c r="O5" s="1292"/>
      <c r="P5" s="291"/>
      <c r="Q5" s="289"/>
      <c r="R5" s="290"/>
      <c r="S5" s="1263"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437"/>
      <c r="AP5" s="437" t="str">
        <f t="shared" si="0"/>
        <v xml:space="preserve">Источник тепловой энергии  </v>
      </c>
      <c r="AQ5" s="437"/>
      <c r="AR5" s="437"/>
      <c r="AS5" s="1082">
        <v>0</v>
      </c>
    </row>
    <row r="6" spans="1:45" ht="47.25" hidden="1" customHeight="1">
      <c r="A6" s="1290"/>
      <c r="B6" s="1290"/>
      <c r="C6" s="1290"/>
      <c r="D6" s="1290"/>
      <c r="E6" s="2602"/>
      <c r="F6" s="2602"/>
      <c r="G6" s="2602"/>
      <c r="H6" s="2602"/>
      <c r="I6" s="2603" t="e">
        <f>S5&amp;".1"</f>
        <v>#N/A</v>
      </c>
      <c r="J6" s="1290"/>
      <c r="K6" s="1290"/>
      <c r="L6" s="1291" t="s">
        <v>483</v>
      </c>
      <c r="M6" s="474"/>
      <c r="P6" s="2605">
        <v>1</v>
      </c>
      <c r="Q6" s="1258"/>
      <c r="R6" s="293"/>
      <c r="S6" s="1263" t="e">
        <f>$I6</f>
        <v>#N/A</v>
      </c>
      <c r="T6" s="222" t="s">
        <v>484</v>
      </c>
      <c r="U6" s="237"/>
      <c r="V6" s="2589"/>
      <c r="W6" s="2590"/>
      <c r="X6" s="2590"/>
      <c r="Y6" s="2590"/>
      <c r="Z6" s="2590"/>
      <c r="AA6" s="2590"/>
      <c r="AB6" s="2590"/>
      <c r="AC6" s="2591"/>
      <c r="AD6" s="2589"/>
      <c r="AE6" s="2590"/>
      <c r="AF6" s="2590"/>
      <c r="AG6" s="2590"/>
      <c r="AH6" s="2590"/>
      <c r="AI6" s="2590"/>
      <c r="AJ6" s="2590"/>
      <c r="AK6" s="2590"/>
      <c r="AL6" s="2591"/>
      <c r="AM6" s="1185" t="s">
        <v>485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02"/>
      <c r="F7" s="2602"/>
      <c r="G7" s="2602"/>
      <c r="H7" s="2602"/>
      <c r="I7" s="2604"/>
      <c r="J7" s="2603" t="e">
        <f>I6&amp;".1"</f>
        <v>#N/A</v>
      </c>
      <c r="K7" s="1290"/>
      <c r="L7" s="1291" t="s">
        <v>486</v>
      </c>
      <c r="M7" s="474"/>
      <c r="N7" s="1293"/>
      <c r="P7" s="2605"/>
      <c r="Q7" s="2605">
        <v>1</v>
      </c>
      <c r="R7" s="294"/>
      <c r="S7" s="1263"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437"/>
      <c r="AP7" s="437" t="str">
        <f t="shared" si="0"/>
        <v>Группа потребителей</v>
      </c>
      <c r="AQ7" s="437"/>
      <c r="AR7" s="437"/>
      <c r="AS7" s="1082">
        <v>0</v>
      </c>
    </row>
    <row r="8" spans="1:45" ht="21" hidden="1" customHeight="1">
      <c r="A8" s="1290"/>
      <c r="B8" s="1290"/>
      <c r="C8" s="1290"/>
      <c r="D8" s="1290"/>
      <c r="E8" s="2602"/>
      <c r="F8" s="2602"/>
      <c r="G8" s="2602"/>
      <c r="H8" s="2602"/>
      <c r="I8" s="2604"/>
      <c r="J8" s="2604"/>
      <c r="K8" s="2603" t="e">
        <f>J7&amp;".1"</f>
        <v>#N/A</v>
      </c>
      <c r="L8" s="1291" t="s">
        <v>489</v>
      </c>
      <c r="M8" s="474"/>
      <c r="N8" s="1293"/>
      <c r="O8" s="1293"/>
      <c r="P8" s="2605"/>
      <c r="Q8" s="2605"/>
      <c r="R8" s="294">
        <v>1</v>
      </c>
      <c r="S8" s="1263" t="e">
        <f>$K8</f>
        <v>#N/A</v>
      </c>
      <c r="T8" s="1274"/>
      <c r="U8" s="237"/>
      <c r="V8" s="688"/>
      <c r="W8" s="262"/>
      <c r="X8" s="688"/>
      <c r="Y8" s="1184"/>
      <c r="Z8" s="2606"/>
      <c r="AA8" s="2471" t="s">
        <v>66</v>
      </c>
      <c r="AB8" s="2606"/>
      <c r="AC8" s="2471" t="s">
        <v>66</v>
      </c>
      <c r="AD8" s="688"/>
      <c r="AE8" s="262"/>
      <c r="AF8" s="688"/>
      <c r="AG8" s="1184"/>
      <c r="AH8" s="2606"/>
      <c r="AI8" s="2471" t="s">
        <v>66</v>
      </c>
      <c r="AJ8" s="2606"/>
      <c r="AK8" s="2471" t="s">
        <v>66</v>
      </c>
      <c r="AL8" s="262"/>
      <c r="AM8" s="2624" t="s">
        <v>490</v>
      </c>
      <c r="AN8" s="448" t="e">
        <f ca="1">STRCHECKDATE(V9:AL9)</f>
        <v>#NAME?</v>
      </c>
      <c r="AO8" s="437"/>
      <c r="AP8" s="437" t="str">
        <f t="shared" si="0"/>
        <v/>
      </c>
      <c r="AQ8" s="437"/>
      <c r="AR8" s="437"/>
      <c r="AS8" s="1082">
        <v>0</v>
      </c>
    </row>
    <row r="9" spans="1:45" ht="0.75" hidden="1" customHeight="1">
      <c r="A9" s="1290"/>
      <c r="B9" s="1290"/>
      <c r="C9" s="1290"/>
      <c r="D9" s="1290"/>
      <c r="E9" s="2602"/>
      <c r="F9" s="2602"/>
      <c r="G9" s="2602"/>
      <c r="H9" s="2602"/>
      <c r="I9" s="2604"/>
      <c r="J9" s="2604"/>
      <c r="K9" s="2603"/>
      <c r="L9" s="1291"/>
      <c r="M9" s="474"/>
      <c r="N9" s="1293"/>
      <c r="O9" s="1293"/>
      <c r="P9" s="2605"/>
      <c r="Q9" s="2605"/>
      <c r="R9" s="294"/>
      <c r="S9" s="1269"/>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437"/>
      <c r="AP9" s="437" t="str">
        <f t="shared" si="0"/>
        <v/>
      </c>
      <c r="AQ9" s="437"/>
      <c r="AR9" s="437"/>
      <c r="AS9" s="1082">
        <v>0</v>
      </c>
    </row>
    <row r="10" spans="1:45" ht="15" hidden="1" customHeight="1">
      <c r="A10" s="1290"/>
      <c r="B10" s="1290"/>
      <c r="C10" s="1290"/>
      <c r="D10" s="1290"/>
      <c r="E10" s="2602"/>
      <c r="F10" s="2602"/>
      <c r="G10" s="2602"/>
      <c r="H10" s="2602"/>
      <c r="I10" s="2604"/>
      <c r="J10" s="2603"/>
      <c r="K10" s="1290"/>
      <c r="L10" s="1291"/>
      <c r="M10" s="474"/>
      <c r="N10" s="1293"/>
      <c r="P10" s="2605"/>
      <c r="Q10" s="2605"/>
      <c r="R10" s="293"/>
      <c r="S10" s="1205"/>
      <c r="T10" s="225" t="s">
        <v>491</v>
      </c>
      <c r="U10" s="304"/>
      <c r="V10" s="304"/>
      <c r="W10" s="304"/>
      <c r="X10" s="304"/>
      <c r="Y10" s="304"/>
      <c r="Z10" s="304"/>
      <c r="AA10" s="304"/>
      <c r="AB10" s="304"/>
      <c r="AC10" s="304"/>
      <c r="AD10" s="304"/>
      <c r="AE10" s="304"/>
      <c r="AF10" s="304"/>
      <c r="AG10" s="304"/>
      <c r="AH10" s="304"/>
      <c r="AI10" s="304"/>
      <c r="AJ10" s="304"/>
      <c r="AK10" s="304"/>
      <c r="AL10" s="261"/>
      <c r="AM10" s="262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02"/>
      <c r="F11" s="2602"/>
      <c r="G11" s="2602"/>
      <c r="H11" s="2602"/>
      <c r="I11" s="2603"/>
      <c r="J11" s="1290"/>
      <c r="K11" s="1290"/>
      <c r="L11" s="1291"/>
      <c r="M11" s="474"/>
      <c r="P11" s="2605"/>
      <c r="Q11" s="1258"/>
      <c r="R11" s="293"/>
      <c r="S11" s="1205"/>
      <c r="T11" s="224" t="s">
        <v>492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02"/>
      <c r="F12" s="2602"/>
      <c r="G12" s="2602"/>
      <c r="H12" s="2601"/>
      <c r="I12" s="1290"/>
      <c r="J12" s="1290"/>
      <c r="K12" s="1290"/>
      <c r="L12" s="1291"/>
      <c r="M12" s="1292"/>
      <c r="N12" s="1292"/>
      <c r="O12" s="474"/>
      <c r="P12" s="297"/>
      <c r="Q12" s="312"/>
      <c r="R12" s="292"/>
      <c r="S12" s="1205"/>
      <c r="T12" s="302" t="s">
        <v>493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02"/>
      <c r="F13" s="2602"/>
      <c r="G13" s="2601"/>
      <c r="H13" s="1241"/>
      <c r="I13" s="1241"/>
      <c r="J13" s="1241"/>
      <c r="K13" s="1241"/>
      <c r="L13" s="1266"/>
      <c r="M13" s="1242"/>
      <c r="N13" s="124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02"/>
      <c r="F14" s="2601"/>
      <c r="G14" s="1241"/>
      <c r="H14" s="1241"/>
      <c r="I14" s="1241"/>
      <c r="J14" s="1241"/>
      <c r="K14" s="1241"/>
      <c r="L14" s="1266"/>
      <c r="M14" s="1248"/>
      <c r="N14" s="124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01"/>
      <c r="F15" s="1241"/>
      <c r="G15" s="1241"/>
      <c r="H15" s="1241"/>
      <c r="I15" s="1241"/>
      <c r="J15" s="1241"/>
      <c r="K15" s="1241"/>
      <c r="L15" s="1266"/>
      <c r="M15" s="1248"/>
      <c r="N15" s="124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99"/>
      <c r="AI17" s="2598" t="s">
        <v>66</v>
      </c>
      <c r="AJ17" s="2599"/>
      <c r="AK17" s="2598" t="s">
        <v>66</v>
      </c>
      <c r="AS17" s="1082">
        <v>0</v>
      </c>
    </row>
    <row r="18" spans="1:45" ht="14.25" hidden="1" customHeight="1">
      <c r="AD18" s="1287"/>
      <c r="AE18" s="1287"/>
      <c r="AF18" s="1287"/>
      <c r="AG18" s="265" t="str">
        <f>AH17&amp;"-"&amp;AJ17</f>
        <v>-</v>
      </c>
      <c r="AH18" s="2598"/>
      <c r="AI18" s="2598"/>
      <c r="AJ18" s="2598"/>
      <c r="AK18" s="2598"/>
      <c r="AS18" s="1082">
        <v>0</v>
      </c>
    </row>
    <row r="19" spans="1:45" ht="14.25" hidden="1" customHeight="1">
      <c r="AK19" s="264"/>
      <c r="AS19" s="1082">
        <v>0</v>
      </c>
    </row>
    <row r="20" spans="1:45" s="1293" customFormat="1" ht="22.5" hidden="1" customHeight="1">
      <c r="L20" s="1256"/>
      <c r="M20" s="1289"/>
      <c r="N20" s="1289"/>
      <c r="O20" s="1294" t="s">
        <v>495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496</v>
      </c>
      <c r="P22" s="1289"/>
      <c r="Q22" s="1298"/>
      <c r="R22" s="1298"/>
      <c r="S22" s="666"/>
      <c r="T22" s="1087" t="s">
        <v>497</v>
      </c>
      <c r="AA22" s="123" t="s">
        <v>498</v>
      </c>
      <c r="AC22" s="123" t="s">
        <v>499</v>
      </c>
      <c r="AD22" s="1087" t="s">
        <v>497</v>
      </c>
      <c r="AI22" s="123" t="s">
        <v>500</v>
      </c>
      <c r="AK22" s="123" t="s">
        <v>499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5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82"/>
      <c r="U26" s="2582"/>
      <c r="V26" s="2582"/>
      <c r="W26" s="2582"/>
      <c r="X26" s="2582"/>
      <c r="Y26" s="2582"/>
      <c r="Z26" s="2582"/>
      <c r="AA26" s="2582"/>
      <c r="AB26" s="2582"/>
      <c r="AC26" s="2582"/>
      <c r="AD26" s="2582"/>
      <c r="AE26" s="2582"/>
      <c r="AF26" s="2582"/>
      <c r="AG26" s="2582"/>
      <c r="AH26" s="2582"/>
      <c r="AI26" s="2582"/>
      <c r="AJ26" s="2582"/>
      <c r="AK26" s="1170"/>
      <c r="AS26" s="1082">
        <v>14</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263"/>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92" t="s">
        <v>501</v>
      </c>
      <c r="T30" s="2592"/>
      <c r="U30" s="1299"/>
      <c r="V30" s="2593">
        <f>IF(TITLE_DATE_PR_CHANGE="",IF(TITLE_DATE_PR="","",TITLE_DATE_PR),TITLE_DATE_PR_CHANGE)</f>
        <v>45596.468541666669</v>
      </c>
      <c r="W30" s="2593"/>
      <c r="X30" s="2593"/>
      <c r="Y30" s="2593"/>
      <c r="Z30" s="2593"/>
      <c r="AA30" s="2593"/>
      <c r="AB30" s="2593"/>
      <c r="AC30" s="263"/>
      <c r="AD30" s="2593">
        <f>IF(TITLE_DATE_PR_CHANGE="",IF(TITLE_DATE_PR="","",TITLE_DATE_PR),TITLE_DATE_PR_CHANGE)</f>
        <v>45596.468541666669</v>
      </c>
      <c r="AE30" s="2593"/>
      <c r="AF30" s="2593"/>
      <c r="AG30" s="2593"/>
      <c r="AH30" s="2593"/>
      <c r="AI30" s="2593"/>
      <c r="AJ30" s="2593"/>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92" t="s">
        <v>502</v>
      </c>
      <c r="T31" s="2592"/>
      <c r="U31" s="1299"/>
      <c r="V31" s="2594" t="str">
        <f>IF(TITLE_NUMBER_PR_CHANGE="",IF(TITLE_NUMBER_PR="","",TITLE_NUMBER_PR),TITLE_NUMBER_PR_CHANGE)</f>
        <v>440,503</v>
      </c>
      <c r="W31" s="2594"/>
      <c r="X31" s="2594"/>
      <c r="Y31" s="2594"/>
      <c r="Z31" s="2594"/>
      <c r="AA31" s="2594"/>
      <c r="AB31" s="2594"/>
      <c r="AC31" s="263"/>
      <c r="AD31" s="2594" t="str">
        <f>IF(TITLE_NUMBER_PR_CHANGE="",IF(TITLE_NUMBER_PR="","",TITLE_NUMBER_PR),TITLE_NUMBER_PR_CHANGE)</f>
        <v>440,503</v>
      </c>
      <c r="AE31" s="2594"/>
      <c r="AF31" s="2594"/>
      <c r="AG31" s="2594"/>
      <c r="AH31" s="2594"/>
      <c r="AI31" s="2594"/>
      <c r="AJ31" s="2594"/>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263"/>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92" t="s">
        <v>503</v>
      </c>
      <c r="T34" s="2592"/>
      <c r="U34" s="1299"/>
      <c r="V34" s="2593">
        <f>IF(TITLE_DATE_PR_CHANGE="",IF(TITLE_DATE_PR="","",TITLE_DATE_PR),TITLE_DATE_PR_CHANGE)</f>
        <v>45596.468541666669</v>
      </c>
      <c r="W34" s="2593"/>
      <c r="X34" s="2593"/>
      <c r="Y34" s="2593"/>
      <c r="Z34" s="2593"/>
      <c r="AA34" s="2593"/>
      <c r="AB34" s="2593"/>
      <c r="AC34" s="263"/>
      <c r="AD34" s="2593">
        <f>IF(TITLE_DATE_PR_CHANGE="",IF(TITLE_DATE_PR="","",TITLE_DATE_PR),TITLE_DATE_PR_CHANGE)</f>
        <v>45596.468541666669</v>
      </c>
      <c r="AE34" s="2593"/>
      <c r="AF34" s="2593"/>
      <c r="AG34" s="2593"/>
      <c r="AH34" s="2593"/>
      <c r="AI34" s="2593"/>
      <c r="AJ34" s="259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92" t="s">
        <v>504</v>
      </c>
      <c r="T35" s="2592"/>
      <c r="U35" s="1299"/>
      <c r="V35" s="2594" t="str">
        <f>IF(TITLE_NUMBER_PR_CHANGE="",IF(TITLE_NUMBER_PR="","",TITLE_NUMBER_PR),TITLE_NUMBER_PR_CHANGE)</f>
        <v>440,503</v>
      </c>
      <c r="W35" s="2594"/>
      <c r="X35" s="2594"/>
      <c r="Y35" s="2594"/>
      <c r="Z35" s="2594"/>
      <c r="AA35" s="2594"/>
      <c r="AB35" s="2594"/>
      <c r="AC35" s="263"/>
      <c r="AD35" s="2594" t="str">
        <f>IF(TITLE_NUMBER_PR_CHANGE="",IF(TITLE_NUMBER_PR="","",TITLE_NUMBER_PR),TITLE_NUMBER_PR_CHANGE)</f>
        <v>440,503</v>
      </c>
      <c r="AE35" s="2594"/>
      <c r="AF35" s="2594"/>
      <c r="AG35" s="2594"/>
      <c r="AH35" s="2594"/>
      <c r="AI35" s="2594"/>
      <c r="AJ35" s="259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505</v>
      </c>
      <c r="AD36" s="263"/>
      <c r="AE36" s="263"/>
      <c r="AF36" s="263"/>
      <c r="AG36" s="263"/>
      <c r="AH36" s="263"/>
      <c r="AI36" s="263"/>
      <c r="AJ36" s="263"/>
      <c r="AK36" s="215" t="s">
        <v>505</v>
      </c>
      <c r="AN36" s="305"/>
      <c r="AO36" s="305"/>
      <c r="AP36" s="305"/>
      <c r="AQ36" s="305"/>
      <c r="AR36" s="305"/>
      <c r="AS36" s="355">
        <v>0</v>
      </c>
    </row>
    <row r="37" spans="1:45" ht="14.65" customHeight="1">
      <c r="Q37" s="313"/>
      <c r="R37" s="313"/>
      <c r="S37" s="1202"/>
      <c r="T37" s="300"/>
      <c r="U37" s="1171"/>
      <c r="V37" s="2613"/>
      <c r="W37" s="2613"/>
      <c r="X37" s="2613"/>
      <c r="Y37" s="2613"/>
      <c r="Z37" s="2613"/>
      <c r="AA37" s="2613"/>
      <c r="AB37" s="2613"/>
      <c r="AC37" s="2613"/>
      <c r="AD37" s="2613"/>
      <c r="AE37" s="2613"/>
      <c r="AF37" s="2613"/>
      <c r="AG37" s="2613"/>
      <c r="AH37" s="2613"/>
      <c r="AI37" s="2613"/>
      <c r="AJ37" s="2613"/>
      <c r="AK37" s="2613"/>
      <c r="AS37" s="1082">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082">
        <v>14</v>
      </c>
    </row>
    <row r="39" spans="1:45" ht="14.65" customHeight="1">
      <c r="Q39" s="313"/>
      <c r="R39" s="313"/>
      <c r="S39" s="2614" t="s">
        <v>88</v>
      </c>
      <c r="T39" s="2563" t="s">
        <v>506</v>
      </c>
      <c r="U39" s="238"/>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082">
        <v>14</v>
      </c>
    </row>
    <row r="40" spans="1:45" ht="35.65" customHeight="1">
      <c r="Q40" s="313"/>
      <c r="R40" s="313"/>
      <c r="S40" s="2614"/>
      <c r="T40" s="2563"/>
      <c r="U40" s="961"/>
      <c r="V40" s="2535" t="s">
        <v>511</v>
      </c>
      <c r="W40" s="2610" t="s">
        <v>512</v>
      </c>
      <c r="X40" s="2442" t="s">
        <v>513</v>
      </c>
      <c r="Y40" s="2441"/>
      <c r="Z40" s="2442" t="s">
        <v>526</v>
      </c>
      <c r="AA40" s="2448"/>
      <c r="AB40" s="2441"/>
      <c r="AC40" s="2619"/>
      <c r="AD40" s="2535" t="s">
        <v>511</v>
      </c>
      <c r="AE40" s="2610" t="s">
        <v>512</v>
      </c>
      <c r="AF40" s="2442" t="s">
        <v>513</v>
      </c>
      <c r="AG40" s="2441"/>
      <c r="AH40" s="2442" t="s">
        <v>514</v>
      </c>
      <c r="AI40" s="2448"/>
      <c r="AJ40" s="2441"/>
      <c r="AK40" s="2619"/>
      <c r="AL40" s="2622"/>
      <c r="AM40" s="2461"/>
      <c r="AS40" s="1082">
        <v>34</v>
      </c>
    </row>
    <row r="41" spans="1:45" ht="35.65" customHeight="1">
      <c r="A41" s="1297"/>
      <c r="B41" s="1297" t="s">
        <v>201</v>
      </c>
      <c r="C41" s="1297" t="s">
        <v>202</v>
      </c>
      <c r="D41" s="1297" t="s">
        <v>203</v>
      </c>
      <c r="E41" s="1291" t="s">
        <v>515</v>
      </c>
      <c r="F41" s="1291" t="s">
        <v>516</v>
      </c>
      <c r="G41" s="1291" t="s">
        <v>517</v>
      </c>
      <c r="H41" s="1291" t="s">
        <v>518</v>
      </c>
      <c r="I41" s="1291" t="s">
        <v>519</v>
      </c>
      <c r="J41" s="1291" t="s">
        <v>520</v>
      </c>
      <c r="K41" s="1291" t="s">
        <v>521</v>
      </c>
      <c r="L41" s="1291" t="s">
        <v>496</v>
      </c>
      <c r="Q41" s="313"/>
      <c r="R41" s="313"/>
      <c r="S41" s="2614"/>
      <c r="T41" s="2563"/>
      <c r="U41" s="239"/>
      <c r="V41" s="2587"/>
      <c r="W41" s="2611"/>
      <c r="X41" s="1149" t="s">
        <v>522</v>
      </c>
      <c r="Y41" s="1149" t="s">
        <v>523</v>
      </c>
      <c r="Z41" s="1265" t="s">
        <v>524</v>
      </c>
      <c r="AA41" s="2568" t="s">
        <v>525</v>
      </c>
      <c r="AB41" s="2581"/>
      <c r="AC41" s="2620"/>
      <c r="AD41" s="2587"/>
      <c r="AE41" s="2611"/>
      <c r="AF41" s="1149" t="s">
        <v>522</v>
      </c>
      <c r="AG41" s="1149" t="s">
        <v>523</v>
      </c>
      <c r="AH41" s="1265" t="s">
        <v>524</v>
      </c>
      <c r="AI41" s="2568" t="s">
        <v>525</v>
      </c>
      <c r="AJ41" s="2581"/>
      <c r="AK41" s="2620"/>
      <c r="AL41" s="2623"/>
      <c r="AM41" s="246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177</v>
      </c>
      <c r="T42" s="1182" t="s">
        <v>102</v>
      </c>
      <c r="U42" s="1172" t="str">
        <f ca="1">OFFSET(U42,0,-1)</f>
        <v>2</v>
      </c>
      <c r="V42" s="1262">
        <f ca="1">OFFSET(V42,0,-1)+1</f>
        <v>3</v>
      </c>
      <c r="W42" s="1262"/>
      <c r="X42" s="1262">
        <f ca="1">OFFSET(X42,0,-1)+1</f>
        <v>1</v>
      </c>
      <c r="Y42" s="1262">
        <f ca="1">OFFSET(Y42,0,-1)+1</f>
        <v>2</v>
      </c>
      <c r="Z42" s="1262">
        <f ca="1">OFFSET(Z42,0,-1)+1</f>
        <v>3</v>
      </c>
      <c r="AA42" s="2612">
        <f ca="1">OFFSET(AA42,0,-1)+1</f>
        <v>4</v>
      </c>
      <c r="AB42" s="2612"/>
      <c r="AC42" s="1262">
        <f ca="1">OFFSET(AC42,0,-2)+1</f>
        <v>5</v>
      </c>
      <c r="AD42" s="1262">
        <f ca="1">OFFSET(AD42,0,-1)+1</f>
        <v>6</v>
      </c>
      <c r="AE42" s="1262"/>
      <c r="AF42" s="1262">
        <f ca="1">OFFSET(AF42,0,-1)+1</f>
        <v>1</v>
      </c>
      <c r="AG42" s="1262">
        <f ca="1">OFFSET(AG42,0,-1)+1</f>
        <v>2</v>
      </c>
      <c r="AH42" s="1262">
        <f ca="1">OFFSET(AH42,0,-1)+1</f>
        <v>3</v>
      </c>
      <c r="AI42" s="2612">
        <f ca="1">OFFSET(AI42,0,-1)+1</f>
        <v>4</v>
      </c>
      <c r="AJ42" s="2612"/>
      <c r="AK42" s="1262">
        <f ca="1">OFFSET(AK42,0,-2)+1</f>
        <v>5</v>
      </c>
      <c r="AL42" s="1172">
        <f ca="1">OFFSET(AL42,0,-1)</f>
        <v>5</v>
      </c>
      <c r="AM42" s="1262">
        <f ca="1">OFFSET(AM42,0,-1)+1</f>
        <v>6</v>
      </c>
      <c r="AN42" s="448"/>
      <c r="AO42" s="448"/>
      <c r="AP42" s="448"/>
      <c r="AQ42" s="448"/>
      <c r="AR42" s="448"/>
      <c r="AS42" s="433">
        <v>0</v>
      </c>
    </row>
    <row r="43" spans="1:45" ht="21.95" customHeight="1">
      <c r="A43" s="1290" t="s">
        <v>227</v>
      </c>
      <c r="B43" s="1290"/>
      <c r="C43" s="1290"/>
      <c r="D43" s="1290"/>
      <c r="E43" s="260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227</v>
      </c>
      <c r="B44" s="1290" t="s">
        <v>228</v>
      </c>
      <c r="C44" s="1290"/>
      <c r="D44" s="1290"/>
      <c r="E44" s="2602"/>
      <c r="F44" s="2601">
        <v>1</v>
      </c>
      <c r="G44" s="1290"/>
      <c r="H44" s="1290"/>
      <c r="I44" s="1290"/>
      <c r="J44" s="1290"/>
      <c r="K44" s="1290"/>
      <c r="L44" s="1291"/>
      <c r="M44" s="1292"/>
      <c r="N44" s="1292"/>
      <c r="O44" s="1292"/>
      <c r="P44" s="1259"/>
      <c r="Q44" s="289"/>
      <c r="R44" s="290"/>
      <c r="S44" s="1263" t="str">
        <f>INDEX(PT_DIFFERENTIATION_NUM_TER,MATCH(B44,PT_DIFFERENTIATION_TER_ID,0))</f>
        <v>.</v>
      </c>
      <c r="T44" s="245"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437"/>
      <c r="AP44" s="437" t="str">
        <f t="shared" si="1"/>
        <v>Территория действия тарифа</v>
      </c>
      <c r="AQ44" s="437"/>
      <c r="AR44" s="437"/>
      <c r="AS44" s="1082">
        <v>21</v>
      </c>
    </row>
    <row r="45" spans="1:45" ht="24" customHeight="1">
      <c r="A45" s="1290" t="s">
        <v>227</v>
      </c>
      <c r="B45" s="1290" t="s">
        <v>228</v>
      </c>
      <c r="C45" s="1290" t="s">
        <v>229</v>
      </c>
      <c r="D45" s="1290"/>
      <c r="E45" s="2602"/>
      <c r="F45" s="2602"/>
      <c r="G45" s="2601">
        <v>1</v>
      </c>
      <c r="H45" s="1290"/>
      <c r="I45" s="1290"/>
      <c r="J45" s="1290"/>
      <c r="K45" s="1290"/>
      <c r="L45" s="1291"/>
      <c r="M45" s="1292"/>
      <c r="N45" s="1292"/>
      <c r="O45" s="1292"/>
      <c r="P45" s="291"/>
      <c r="Q45" s="289"/>
      <c r="R45" s="290"/>
      <c r="S45" s="1263"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437"/>
      <c r="AP45" s="437" t="str">
        <f t="shared" si="1"/>
        <v xml:space="preserve">Наименование системы теплоснабжения </v>
      </c>
      <c r="AQ45" s="437"/>
      <c r="AR45" s="437"/>
      <c r="AS45" s="1082">
        <v>23</v>
      </c>
    </row>
    <row r="46" spans="1:45" ht="21.95" customHeight="1">
      <c r="A46" s="1290" t="s">
        <v>227</v>
      </c>
      <c r="B46" s="1290" t="s">
        <v>228</v>
      </c>
      <c r="C46" s="1290" t="s">
        <v>229</v>
      </c>
      <c r="D46" s="1290" t="s">
        <v>230</v>
      </c>
      <c r="E46" s="2602"/>
      <c r="F46" s="2602"/>
      <c r="G46" s="2602"/>
      <c r="H46" s="2601">
        <v>1</v>
      </c>
      <c r="I46" s="1290"/>
      <c r="J46" s="1290"/>
      <c r="K46" s="1290"/>
      <c r="L46" s="1291"/>
      <c r="M46" s="1292"/>
      <c r="N46" s="1292"/>
      <c r="O46" s="1292"/>
      <c r="P46" s="291"/>
      <c r="Q46" s="289"/>
      <c r="R46" s="290"/>
      <c r="S46" s="1263"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437"/>
      <c r="AP46" s="437" t="str">
        <f t="shared" si="1"/>
        <v xml:space="preserve">Источник тепловой энергии  </v>
      </c>
      <c r="AQ46" s="437"/>
      <c r="AR46" s="437"/>
      <c r="AS46" s="1082">
        <v>21</v>
      </c>
    </row>
    <row r="47" spans="1:45" ht="49.5" customHeight="1">
      <c r="A47" s="1290" t="s">
        <v>227</v>
      </c>
      <c r="B47" s="1290" t="s">
        <v>228</v>
      </c>
      <c r="C47" s="1290" t="s">
        <v>229</v>
      </c>
      <c r="D47" s="1290" t="s">
        <v>230</v>
      </c>
      <c r="E47" s="2602"/>
      <c r="F47" s="2602"/>
      <c r="G47" s="2602"/>
      <c r="H47" s="2602"/>
      <c r="I47" s="2603" t="str">
        <f>S46&amp;".1"</f>
        <v>....1</v>
      </c>
      <c r="J47" s="1290"/>
      <c r="K47" s="1290"/>
      <c r="L47" s="1291" t="s">
        <v>483</v>
      </c>
      <c r="P47" s="2605">
        <v>1</v>
      </c>
      <c r="Q47" s="1258"/>
      <c r="R47" s="293"/>
      <c r="S47" s="1263" t="str">
        <f>$I47</f>
        <v>....1</v>
      </c>
      <c r="T47" s="222" t="s">
        <v>484</v>
      </c>
      <c r="U47" s="237"/>
      <c r="V47" s="2589"/>
      <c r="W47" s="2590"/>
      <c r="X47" s="2590"/>
      <c r="Y47" s="2590"/>
      <c r="Z47" s="2590"/>
      <c r="AA47" s="2590"/>
      <c r="AB47" s="2590"/>
      <c r="AC47" s="2591"/>
      <c r="AD47" s="2589"/>
      <c r="AE47" s="2590"/>
      <c r="AF47" s="2590"/>
      <c r="AG47" s="2590"/>
      <c r="AH47" s="2590"/>
      <c r="AI47" s="2590"/>
      <c r="AJ47" s="2590"/>
      <c r="AK47" s="2590"/>
      <c r="AL47" s="2591"/>
      <c r="AM47" s="1185" t="s">
        <v>485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227</v>
      </c>
      <c r="B48" s="1290" t="s">
        <v>228</v>
      </c>
      <c r="C48" s="1290" t="s">
        <v>229</v>
      </c>
      <c r="D48" s="1290" t="s">
        <v>230</v>
      </c>
      <c r="E48" s="2602"/>
      <c r="F48" s="2602"/>
      <c r="G48" s="2602"/>
      <c r="H48" s="2602"/>
      <c r="I48" s="2604"/>
      <c r="J48" s="2603" t="str">
        <f>I47&amp;".1"</f>
        <v>....1.1</v>
      </c>
      <c r="K48" s="1290"/>
      <c r="L48" s="1291" t="s">
        <v>486</v>
      </c>
      <c r="P48" s="2605"/>
      <c r="Q48" s="2605">
        <v>1</v>
      </c>
      <c r="R48" s="294"/>
      <c r="S48" s="1263" t="str">
        <f>$J48</f>
        <v>....1.1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437"/>
      <c r="AP48" s="437" t="str">
        <f t="shared" si="1"/>
        <v>Группа потребителей</v>
      </c>
      <c r="AQ48" s="437"/>
      <c r="AR48" s="437"/>
      <c r="AS48" s="1082">
        <v>21</v>
      </c>
    </row>
    <row r="49" spans="1:45" ht="21.95" customHeight="1">
      <c r="A49" s="1290" t="s">
        <v>227</v>
      </c>
      <c r="B49" s="1290" t="s">
        <v>228</v>
      </c>
      <c r="C49" s="1290" t="s">
        <v>229</v>
      </c>
      <c r="D49" s="1290" t="s">
        <v>230</v>
      </c>
      <c r="E49" s="2602"/>
      <c r="F49" s="2602"/>
      <c r="G49" s="2602"/>
      <c r="H49" s="2602"/>
      <c r="I49" s="2604"/>
      <c r="J49" s="2604"/>
      <c r="K49" s="2603" t="str">
        <f>J48&amp;".1"</f>
        <v>....1.1.1</v>
      </c>
      <c r="L49" s="1291" t="s">
        <v>489</v>
      </c>
      <c r="P49" s="2605"/>
      <c r="Q49" s="2605"/>
      <c r="R49" s="294">
        <v>1</v>
      </c>
      <c r="S49" s="1263" t="str">
        <f>$K49</f>
        <v>....1.1.1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490</v>
      </c>
      <c r="AN49" s="448" t="e">
        <f ca="1">STRCHECKDATE(V50:AL50)</f>
        <v>#NAME?</v>
      </c>
      <c r="AO49" s="437"/>
      <c r="AP49" s="437" t="str">
        <f t="shared" si="1"/>
        <v/>
      </c>
      <c r="AQ49" s="437"/>
      <c r="AR49" s="437"/>
      <c r="AS49" s="1082">
        <v>21</v>
      </c>
    </row>
    <row r="50" spans="1:45" ht="1.1499999999999999" customHeight="1">
      <c r="A50" s="1290" t="s">
        <v>227</v>
      </c>
      <c r="B50" s="1290" t="s">
        <v>228</v>
      </c>
      <c r="C50" s="1290" t="s">
        <v>229</v>
      </c>
      <c r="D50" s="1290" t="s">
        <v>230</v>
      </c>
      <c r="E50" s="2602"/>
      <c r="F50" s="2602"/>
      <c r="G50" s="2602"/>
      <c r="H50" s="2602"/>
      <c r="I50" s="2604"/>
      <c r="J50" s="2604"/>
      <c r="K50" s="2603"/>
      <c r="L50" s="1291"/>
      <c r="P50" s="2605"/>
      <c r="Q50" s="2605"/>
      <c r="R50" s="294"/>
      <c r="S50" s="1269"/>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437"/>
      <c r="AP50" s="437" t="str">
        <f t="shared" si="1"/>
        <v/>
      </c>
      <c r="AQ50" s="437"/>
      <c r="AR50" s="437"/>
      <c r="AS50" s="1082">
        <v>1</v>
      </c>
    </row>
    <row r="51" spans="1:45" ht="11.45" customHeight="1">
      <c r="A51" s="1290" t="s">
        <v>227</v>
      </c>
      <c r="B51" s="1290" t="s">
        <v>228</v>
      </c>
      <c r="C51" s="1290" t="s">
        <v>229</v>
      </c>
      <c r="D51" s="1290" t="s">
        <v>230</v>
      </c>
      <c r="E51" s="2602"/>
      <c r="F51" s="2602"/>
      <c r="G51" s="2602"/>
      <c r="H51" s="2602"/>
      <c r="I51" s="2604"/>
      <c r="J51" s="2603"/>
      <c r="K51" s="1290"/>
      <c r="L51" s="1291"/>
      <c r="P51" s="2605"/>
      <c r="Q51" s="2605"/>
      <c r="R51" s="293"/>
      <c r="S51" s="1205"/>
      <c r="T51" s="225" t="s">
        <v>491</v>
      </c>
      <c r="U51" s="304"/>
      <c r="V51" s="304"/>
      <c r="W51" s="304"/>
      <c r="X51" s="304"/>
      <c r="Y51" s="304"/>
      <c r="Z51" s="304"/>
      <c r="AA51" s="304"/>
      <c r="AB51" s="304"/>
      <c r="AC51" s="304"/>
      <c r="AD51" s="304"/>
      <c r="AE51" s="304"/>
      <c r="AF51" s="304"/>
      <c r="AG51" s="304"/>
      <c r="AH51" s="304"/>
      <c r="AI51" s="304"/>
      <c r="AJ51" s="304"/>
      <c r="AK51" s="304"/>
      <c r="AL51" s="261"/>
      <c r="AM51" s="2626"/>
      <c r="AO51" s="437"/>
      <c r="AP51" s="437" t="str">
        <f t="shared" si="1"/>
        <v>Добавить вид теплоносителя (параметры теплоносителя)</v>
      </c>
      <c r="AQ51" s="437"/>
      <c r="AR51" s="437"/>
      <c r="AS51" s="1082">
        <v>11</v>
      </c>
    </row>
    <row r="52" spans="1:45" ht="11.45" customHeight="1">
      <c r="A52" s="1290" t="s">
        <v>227</v>
      </c>
      <c r="B52" s="1290" t="s">
        <v>228</v>
      </c>
      <c r="C52" s="1290" t="s">
        <v>229</v>
      </c>
      <c r="D52" s="1290" t="s">
        <v>230</v>
      </c>
      <c r="E52" s="2602"/>
      <c r="F52" s="2602"/>
      <c r="G52" s="2602"/>
      <c r="H52" s="2602"/>
      <c r="I52" s="2603"/>
      <c r="J52" s="1290"/>
      <c r="K52" s="1290"/>
      <c r="L52" s="1291"/>
      <c r="P52" s="2605"/>
      <c r="Q52" s="1258"/>
      <c r="R52" s="293"/>
      <c r="S52" s="1205"/>
      <c r="T52" s="224" t="s">
        <v>492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227</v>
      </c>
      <c r="B53" s="1290" t="s">
        <v>228</v>
      </c>
      <c r="C53" s="1290" t="s">
        <v>229</v>
      </c>
      <c r="D53" s="1290" t="s">
        <v>230</v>
      </c>
      <c r="E53" s="2602"/>
      <c r="F53" s="2602"/>
      <c r="G53" s="2602"/>
      <c r="H53" s="2601"/>
      <c r="I53" s="1290"/>
      <c r="J53" s="1290"/>
      <c r="K53" s="1290"/>
      <c r="L53" s="1291"/>
      <c r="M53" s="1292"/>
      <c r="N53" s="1292"/>
      <c r="O53" s="474"/>
      <c r="P53" s="297"/>
      <c r="Q53" s="312"/>
      <c r="R53" s="292"/>
      <c r="S53" s="1205"/>
      <c r="T53" s="302" t="s">
        <v>493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227</v>
      </c>
      <c r="B54" s="1270" t="s">
        <v>228</v>
      </c>
      <c r="C54" s="1270" t="s">
        <v>229</v>
      </c>
      <c r="D54" s="1241"/>
      <c r="E54" s="2602"/>
      <c r="F54" s="2602"/>
      <c r="G54" s="2601"/>
      <c r="H54" s="1241"/>
      <c r="I54" s="1241"/>
      <c r="J54" s="1241"/>
      <c r="K54" s="1241"/>
      <c r="L54" s="1266"/>
      <c r="M54" s="1242"/>
      <c r="N54" s="124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227</v>
      </c>
      <c r="B55" s="1270" t="s">
        <v>228</v>
      </c>
      <c r="C55" s="1241"/>
      <c r="D55" s="1241"/>
      <c r="E55" s="2602"/>
      <c r="F55" s="2601"/>
      <c r="G55" s="1241"/>
      <c r="H55" s="1241"/>
      <c r="I55" s="1241"/>
      <c r="J55" s="1241"/>
      <c r="K55" s="1241"/>
      <c r="L55" s="1266"/>
      <c r="M55" s="1248"/>
      <c r="N55" s="124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227</v>
      </c>
      <c r="B56" s="1270"/>
      <c r="C56" s="1270"/>
      <c r="D56" s="1270"/>
      <c r="E56" s="2601"/>
      <c r="F56" s="1270"/>
      <c r="G56" s="1270"/>
      <c r="H56" s="1270"/>
      <c r="I56" s="1270"/>
      <c r="J56" s="1270"/>
      <c r="K56" s="1270"/>
      <c r="L56" s="1273"/>
      <c r="M56" s="1248"/>
      <c r="N56" s="1248"/>
      <c r="O56" s="455"/>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2">
        <v>27</v>
      </c>
    </row>
    <row r="60" spans="1:45" ht="65.25" customHeight="1">
      <c r="O60" s="474"/>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2">
        <v>62</v>
      </c>
    </row>
    <row r="61" spans="1:45" ht="14.65" customHeight="1">
      <c r="O61" s="474"/>
      <c r="AS61" s="1082">
        <v>14</v>
      </c>
    </row>
    <row r="62" spans="1:45" ht="18.75" customHeight="1">
      <c r="O62" s="474"/>
      <c r="S62" s="1180"/>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082">
        <v>18</v>
      </c>
    </row>
    <row r="63" spans="1:45" ht="18.75" customHeight="1">
      <c r="O63" s="474"/>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082">
        <v>18</v>
      </c>
    </row>
    <row r="64" spans="1:45" ht="29.25" customHeight="1">
      <c r="O64" s="474"/>
      <c r="S64" s="1180"/>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7" hidden="1" customWidth="1"/>
    <col min="15" max="15" width="23.42578125" style="2017" hidden="1" customWidth="1"/>
    <col min="16" max="16" width="3" style="2017"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627">
        <v>1</v>
      </c>
      <c r="F2" s="1194"/>
      <c r="G2" s="1194"/>
      <c r="H2" s="1194"/>
      <c r="I2" s="1194"/>
      <c r="J2" s="1194"/>
      <c r="K2" s="1194"/>
      <c r="L2" s="1237"/>
      <c r="M2" s="1537"/>
      <c r="N2" s="1537"/>
      <c r="O2" s="1537"/>
      <c r="P2" s="1517"/>
      <c r="Q2" s="297"/>
      <c r="R2" s="292"/>
      <c r="S2" s="1881" t="e">
        <f>INDEX(PT_DIFFERENTIATION_NUM_NTAR,MATCH(A2,PT_DIFFERENTIATION_NTAR_ID,0))</f>
        <v>#N/A</v>
      </c>
      <c r="T2" s="1452"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1551"/>
      <c r="AP2" s="1551" t="str">
        <f t="shared" ref="AP2:AP15" si="0">IF(T2="","",T2)</f>
        <v>Наименование тарифа</v>
      </c>
      <c r="AQ2" s="1551"/>
      <c r="AR2" s="1551"/>
      <c r="AS2" s="1558">
        <v>0</v>
      </c>
    </row>
    <row r="3" spans="1:45" ht="21" hidden="1" customHeight="1">
      <c r="A3" s="1194"/>
      <c r="B3" s="1194"/>
      <c r="C3" s="1194"/>
      <c r="D3" s="1194"/>
      <c r="E3" s="2628"/>
      <c r="F3" s="2627">
        <v>1</v>
      </c>
      <c r="G3" s="1194"/>
      <c r="H3" s="1194"/>
      <c r="I3" s="1194"/>
      <c r="J3" s="1194"/>
      <c r="K3" s="1194"/>
      <c r="L3" s="1237"/>
      <c r="M3" s="1537"/>
      <c r="N3" s="1537"/>
      <c r="O3" s="1537"/>
      <c r="P3" s="1863"/>
      <c r="Q3" s="289"/>
      <c r="R3" s="290"/>
      <c r="S3" s="1881" t="e">
        <f>INDEX(PT_DIFFERENTIATION_NUM_TER,MATCH(B3,PT_DIFFERENTIATION_TER_ID,0))</f>
        <v>#N/A</v>
      </c>
      <c r="T3" s="1449"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1551"/>
      <c r="AP3" s="1551" t="str">
        <f t="shared" si="0"/>
        <v>Территория действия тарифа</v>
      </c>
      <c r="AQ3" s="1551"/>
      <c r="AR3" s="1551"/>
      <c r="AS3" s="1558">
        <v>0</v>
      </c>
    </row>
    <row r="4" spans="1:45" ht="23.25" hidden="1" customHeight="1">
      <c r="A4" s="1194"/>
      <c r="B4" s="1194"/>
      <c r="C4" s="1194"/>
      <c r="D4" s="1194"/>
      <c r="E4" s="2628"/>
      <c r="F4" s="2628"/>
      <c r="G4" s="2627">
        <v>1</v>
      </c>
      <c r="H4" s="1194"/>
      <c r="I4" s="1194"/>
      <c r="J4" s="1194"/>
      <c r="K4" s="1194"/>
      <c r="L4" s="1237"/>
      <c r="M4" s="1537"/>
      <c r="N4" s="1537"/>
      <c r="O4" s="1537"/>
      <c r="P4" s="291"/>
      <c r="Q4" s="289"/>
      <c r="R4" s="290"/>
      <c r="S4" s="1881"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628"/>
      <c r="F5" s="2628"/>
      <c r="G5" s="2628"/>
      <c r="H5" s="2627">
        <v>1</v>
      </c>
      <c r="I5" s="1194"/>
      <c r="J5" s="1194"/>
      <c r="K5" s="1194"/>
      <c r="L5" s="1237"/>
      <c r="M5" s="1537"/>
      <c r="N5" s="1537"/>
      <c r="O5" s="1537"/>
      <c r="P5" s="291"/>
      <c r="Q5" s="289"/>
      <c r="R5" s="290"/>
      <c r="S5" s="1881"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1551"/>
      <c r="AP5" s="1551" t="str">
        <f t="shared" si="0"/>
        <v xml:space="preserve">Источник тепловой энергии  </v>
      </c>
      <c r="AQ5" s="1551"/>
      <c r="AR5" s="1551"/>
      <c r="AS5" s="1558">
        <v>0</v>
      </c>
    </row>
    <row r="6" spans="1:45" ht="47.25" hidden="1" customHeight="1">
      <c r="A6" s="1194"/>
      <c r="B6" s="1194"/>
      <c r="C6" s="1194"/>
      <c r="D6" s="1194"/>
      <c r="E6" s="2628"/>
      <c r="F6" s="2628"/>
      <c r="G6" s="2628"/>
      <c r="H6" s="2628"/>
      <c r="I6" s="2461" t="e">
        <f>S5&amp;".1"</f>
        <v>#N/A</v>
      </c>
      <c r="J6" s="1194"/>
      <c r="K6" s="1194"/>
      <c r="L6" s="1237" t="s">
        <v>483</v>
      </c>
      <c r="M6" s="1562"/>
      <c r="P6" s="2605">
        <v>1</v>
      </c>
      <c r="Q6" s="1877"/>
      <c r="R6" s="293"/>
      <c r="S6" s="1881" t="e">
        <f>$I6</f>
        <v>#N/A</v>
      </c>
      <c r="T6" s="222" t="s">
        <v>484</v>
      </c>
      <c r="U6" s="237"/>
      <c r="V6" s="2589"/>
      <c r="W6" s="2590"/>
      <c r="X6" s="2590"/>
      <c r="Y6" s="2590"/>
      <c r="Z6" s="2590"/>
      <c r="AA6" s="2590"/>
      <c r="AB6" s="2590"/>
      <c r="AC6" s="2591"/>
      <c r="AD6" s="2589"/>
      <c r="AE6" s="2590"/>
      <c r="AF6" s="2590"/>
      <c r="AG6" s="2590"/>
      <c r="AH6" s="2590"/>
      <c r="AI6" s="2590"/>
      <c r="AJ6" s="2590"/>
      <c r="AK6" s="2590"/>
      <c r="AL6" s="2591"/>
      <c r="AM6" s="1185" t="s">
        <v>485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628"/>
      <c r="F7" s="2628"/>
      <c r="G7" s="2628"/>
      <c r="H7" s="2628"/>
      <c r="I7" s="2442"/>
      <c r="J7" s="2461" t="e">
        <f>I6&amp;".1"</f>
        <v>#N/A</v>
      </c>
      <c r="K7" s="1194"/>
      <c r="L7" s="1237" t="s">
        <v>486</v>
      </c>
      <c r="M7" s="1562"/>
      <c r="N7" s="1558"/>
      <c r="P7" s="2605"/>
      <c r="Q7" s="2605">
        <v>1</v>
      </c>
      <c r="R7" s="294"/>
      <c r="S7" s="1881"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1551"/>
      <c r="AP7" s="1551" t="str">
        <f t="shared" si="0"/>
        <v>Группа потребителей</v>
      </c>
      <c r="AQ7" s="1551"/>
      <c r="AR7" s="1551"/>
      <c r="AS7" s="1558">
        <v>0</v>
      </c>
    </row>
    <row r="8" spans="1:45" ht="21" hidden="1" customHeight="1">
      <c r="A8" s="1194"/>
      <c r="B8" s="1194"/>
      <c r="C8" s="1194"/>
      <c r="D8" s="1194"/>
      <c r="E8" s="2628"/>
      <c r="F8" s="2628"/>
      <c r="G8" s="2628"/>
      <c r="H8" s="2628"/>
      <c r="I8" s="2442"/>
      <c r="J8" s="2442"/>
      <c r="K8" s="2461" t="e">
        <f>J7&amp;".1"</f>
        <v>#N/A</v>
      </c>
      <c r="L8" s="1237" t="s">
        <v>489</v>
      </c>
      <c r="M8" s="1562"/>
      <c r="N8" s="1558"/>
      <c r="O8" s="1558"/>
      <c r="P8" s="2605"/>
      <c r="Q8" s="2605"/>
      <c r="R8" s="294">
        <v>1</v>
      </c>
      <c r="S8" s="1881" t="e">
        <f>$K8</f>
        <v>#N/A</v>
      </c>
      <c r="T8" s="1274"/>
      <c r="U8" s="237"/>
      <c r="V8" s="688"/>
      <c r="W8" s="262"/>
      <c r="X8" s="688"/>
      <c r="Y8" s="1184"/>
      <c r="Z8" s="2606"/>
      <c r="AA8" s="2471" t="s">
        <v>66</v>
      </c>
      <c r="AB8" s="2606"/>
      <c r="AC8" s="2471" t="s">
        <v>66</v>
      </c>
      <c r="AD8" s="688"/>
      <c r="AE8" s="262"/>
      <c r="AF8" s="688"/>
      <c r="AG8" s="1184"/>
      <c r="AH8" s="2606"/>
      <c r="AI8" s="2471" t="s">
        <v>66</v>
      </c>
      <c r="AJ8" s="2606"/>
      <c r="AK8" s="2471" t="s">
        <v>66</v>
      </c>
      <c r="AL8" s="262"/>
      <c r="AM8" s="2624" t="s">
        <v>490</v>
      </c>
      <c r="AN8" s="1563" t="e">
        <f ca="1">STRCHECKDATE(V9:AL9)</f>
        <v>#NAME?</v>
      </c>
      <c r="AO8" s="1551"/>
      <c r="AP8" s="1551" t="str">
        <f t="shared" si="0"/>
        <v/>
      </c>
      <c r="AQ8" s="1551"/>
      <c r="AR8" s="1551"/>
      <c r="AS8" s="1558">
        <v>0</v>
      </c>
    </row>
    <row r="9" spans="1:45" ht="0.75" hidden="1" customHeight="1">
      <c r="A9" s="1194"/>
      <c r="B9" s="1194"/>
      <c r="C9" s="1194"/>
      <c r="D9" s="1194"/>
      <c r="E9" s="2628"/>
      <c r="F9" s="2628"/>
      <c r="G9" s="2628"/>
      <c r="H9" s="2628"/>
      <c r="I9" s="2442"/>
      <c r="J9" s="2442"/>
      <c r="K9" s="2461"/>
      <c r="L9" s="1237"/>
      <c r="M9" s="1562"/>
      <c r="N9" s="1558"/>
      <c r="O9" s="1558"/>
      <c r="P9" s="2605"/>
      <c r="Q9" s="2605"/>
      <c r="R9" s="294"/>
      <c r="S9" s="1890"/>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1551"/>
      <c r="AP9" s="1551" t="str">
        <f t="shared" si="0"/>
        <v/>
      </c>
      <c r="AQ9" s="1551"/>
      <c r="AR9" s="1551"/>
      <c r="AS9" s="1558">
        <v>0</v>
      </c>
    </row>
    <row r="10" spans="1:45" ht="15" hidden="1" customHeight="1">
      <c r="A10" s="1194"/>
      <c r="B10" s="1194"/>
      <c r="C10" s="1194"/>
      <c r="D10" s="1194"/>
      <c r="E10" s="2628"/>
      <c r="F10" s="2628"/>
      <c r="G10" s="2628"/>
      <c r="H10" s="2628"/>
      <c r="I10" s="2442"/>
      <c r="J10" s="2461"/>
      <c r="K10" s="1194"/>
      <c r="L10" s="1237"/>
      <c r="M10" s="1562"/>
      <c r="N10" s="1558"/>
      <c r="P10" s="2605"/>
      <c r="Q10" s="2605"/>
      <c r="R10" s="293"/>
      <c r="S10" s="1205"/>
      <c r="T10" s="225" t="s">
        <v>491</v>
      </c>
      <c r="U10" s="537"/>
      <c r="V10" s="537"/>
      <c r="W10" s="537"/>
      <c r="X10" s="537"/>
      <c r="Y10" s="537"/>
      <c r="Z10" s="537"/>
      <c r="AA10" s="537"/>
      <c r="AB10" s="537"/>
      <c r="AC10" s="537"/>
      <c r="AD10" s="537"/>
      <c r="AE10" s="537"/>
      <c r="AF10" s="537"/>
      <c r="AG10" s="537"/>
      <c r="AH10" s="537"/>
      <c r="AI10" s="537"/>
      <c r="AJ10" s="537"/>
      <c r="AK10" s="537"/>
      <c r="AL10" s="261"/>
      <c r="AM10" s="262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628"/>
      <c r="F11" s="2628"/>
      <c r="G11" s="2628"/>
      <c r="H11" s="2628"/>
      <c r="I11" s="2461"/>
      <c r="J11" s="1194"/>
      <c r="K11" s="1194"/>
      <c r="L11" s="1237"/>
      <c r="M11" s="1562"/>
      <c r="P11" s="2605"/>
      <c r="Q11" s="1877"/>
      <c r="R11" s="293"/>
      <c r="S11" s="1205"/>
      <c r="T11" s="224" t="s">
        <v>492</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628"/>
      <c r="F12" s="2628"/>
      <c r="G12" s="2628"/>
      <c r="H12" s="2627"/>
      <c r="I12" s="1194"/>
      <c r="J12" s="1194"/>
      <c r="K12" s="1194"/>
      <c r="L12" s="1237"/>
      <c r="M12" s="1537"/>
      <c r="N12" s="1537"/>
      <c r="O12" s="1562"/>
      <c r="P12" s="297"/>
      <c r="Q12" s="312"/>
      <c r="R12" s="292"/>
      <c r="S12" s="1205"/>
      <c r="T12" s="302" t="s">
        <v>493</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628"/>
      <c r="F13" s="2628"/>
      <c r="G13" s="2627"/>
      <c r="H13" s="1301"/>
      <c r="I13" s="1301"/>
      <c r="J13" s="1301"/>
      <c r="K13" s="1301"/>
      <c r="L13" s="1304"/>
      <c r="M13" s="1305"/>
      <c r="N13" s="1305"/>
      <c r="O13" s="288"/>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628"/>
      <c r="F14" s="2627"/>
      <c r="G14" s="1301"/>
      <c r="H14" s="1301"/>
      <c r="I14" s="1301"/>
      <c r="J14" s="1301"/>
      <c r="K14" s="1301"/>
      <c r="L14" s="1304"/>
      <c r="M14" s="1306"/>
      <c r="N14" s="1306"/>
      <c r="O14" s="28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627"/>
      <c r="F15" s="1301"/>
      <c r="G15" s="1301"/>
      <c r="H15" s="1301"/>
      <c r="I15" s="1301"/>
      <c r="J15" s="1301"/>
      <c r="K15" s="1301"/>
      <c r="L15" s="1304"/>
      <c r="M15" s="1306"/>
      <c r="N15" s="1306"/>
      <c r="O15" s="28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599"/>
      <c r="AI17" s="2598" t="s">
        <v>66</v>
      </c>
      <c r="AJ17" s="2599"/>
      <c r="AK17" s="2598" t="s">
        <v>66</v>
      </c>
      <c r="AS17" s="1558">
        <v>0</v>
      </c>
    </row>
    <row r="18" spans="1:45" ht="14.25" hidden="1" customHeight="1">
      <c r="AD18" s="1287"/>
      <c r="AE18" s="1287"/>
      <c r="AF18" s="1287"/>
      <c r="AG18" s="265" t="str">
        <f>AH17&amp;"-"&amp;AJ17</f>
        <v>-</v>
      </c>
      <c r="AH18" s="2598"/>
      <c r="AI18" s="2598"/>
      <c r="AJ18" s="2598"/>
      <c r="AK18" s="259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495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496</v>
      </c>
      <c r="P22" s="1289"/>
      <c r="Q22" s="1298"/>
      <c r="R22" s="1298"/>
      <c r="S22" s="666"/>
      <c r="T22" s="1293" t="s">
        <v>497</v>
      </c>
      <c r="AA22" s="532" t="s">
        <v>498</v>
      </c>
      <c r="AC22" s="532" t="s">
        <v>499</v>
      </c>
      <c r="AD22" s="1293" t="s">
        <v>497</v>
      </c>
      <c r="AI22" s="532" t="s">
        <v>500</v>
      </c>
      <c r="AK22" s="532" t="s">
        <v>499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5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82"/>
      <c r="U26" s="2582"/>
      <c r="V26" s="2582"/>
      <c r="W26" s="2582"/>
      <c r="X26" s="2582"/>
      <c r="Y26" s="2582"/>
      <c r="Z26" s="2582"/>
      <c r="AA26" s="2582"/>
      <c r="AB26" s="2582"/>
      <c r="AC26" s="2582"/>
      <c r="AD26" s="2582"/>
      <c r="AE26" s="2582"/>
      <c r="AF26" s="2582"/>
      <c r="AG26" s="2582"/>
      <c r="AH26" s="2582"/>
      <c r="AI26" s="2582"/>
      <c r="AJ26" s="2582"/>
      <c r="AK26" s="1170"/>
      <c r="AS26" s="1558">
        <v>14</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1562"/>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592" t="s">
        <v>501</v>
      </c>
      <c r="T30" s="2592"/>
      <c r="U30" s="1299"/>
      <c r="V30" s="2593">
        <f>IF(TITLE_DATE_PR_CHANGE="",IF(TITLE_DATE_PR="","",TITLE_DATE_PR),TITLE_DATE_PR_CHANGE)</f>
        <v>45596.468541666669</v>
      </c>
      <c r="W30" s="2593"/>
      <c r="X30" s="2593"/>
      <c r="Y30" s="2593"/>
      <c r="Z30" s="2593"/>
      <c r="AA30" s="2593"/>
      <c r="AB30" s="2593"/>
      <c r="AC30" s="1562"/>
      <c r="AD30" s="2593">
        <f>IF(TITLE_DATE_PR_CHANGE="",IF(TITLE_DATE_PR="","",TITLE_DATE_PR),TITLE_DATE_PR_CHANGE)</f>
        <v>45596.468541666669</v>
      </c>
      <c r="AE30" s="2593"/>
      <c r="AF30" s="2593"/>
      <c r="AG30" s="2593"/>
      <c r="AH30" s="2593"/>
      <c r="AI30" s="2593"/>
      <c r="AJ30" s="259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592" t="s">
        <v>502</v>
      </c>
      <c r="T31" s="2592"/>
      <c r="U31" s="1299"/>
      <c r="V31" s="2594" t="str">
        <f>IF(TITLE_NUMBER_PR_CHANGE="",IF(TITLE_NUMBER_PR="","",TITLE_NUMBER_PR),TITLE_NUMBER_PR_CHANGE)</f>
        <v>440,503</v>
      </c>
      <c r="W31" s="2594"/>
      <c r="X31" s="2594"/>
      <c r="Y31" s="2594"/>
      <c r="Z31" s="2594"/>
      <c r="AA31" s="2594"/>
      <c r="AB31" s="2594"/>
      <c r="AC31" s="1562"/>
      <c r="AD31" s="2594" t="str">
        <f>IF(TITLE_NUMBER_PR_CHANGE="",IF(TITLE_NUMBER_PR="","",TITLE_NUMBER_PR),TITLE_NUMBER_PR_CHANGE)</f>
        <v>440,503</v>
      </c>
      <c r="AE31" s="2594"/>
      <c r="AF31" s="2594"/>
      <c r="AG31" s="2594"/>
      <c r="AH31" s="2594"/>
      <c r="AI31" s="2594"/>
      <c r="AJ31" s="259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1562"/>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592" t="s">
        <v>503</v>
      </c>
      <c r="T34" s="2592"/>
      <c r="U34" s="1299"/>
      <c r="V34" s="2593">
        <f>IF(TITLE_DATE_PR_CHANGE="",IF(TITLE_DATE_PR="","",TITLE_DATE_PR),TITLE_DATE_PR_CHANGE)</f>
        <v>45596.468541666669</v>
      </c>
      <c r="W34" s="2593"/>
      <c r="X34" s="2593"/>
      <c r="Y34" s="2593"/>
      <c r="Z34" s="2593"/>
      <c r="AA34" s="2593"/>
      <c r="AB34" s="2593"/>
      <c r="AC34" s="1562"/>
      <c r="AD34" s="2593">
        <f>IF(TITLE_DATE_PR_CHANGE="",IF(TITLE_DATE_PR="","",TITLE_DATE_PR),TITLE_DATE_PR_CHANGE)</f>
        <v>45596.468541666669</v>
      </c>
      <c r="AE34" s="2593"/>
      <c r="AF34" s="2593"/>
      <c r="AG34" s="2593"/>
      <c r="AH34" s="2593"/>
      <c r="AI34" s="2593"/>
      <c r="AJ34" s="259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592" t="s">
        <v>504</v>
      </c>
      <c r="T35" s="2592"/>
      <c r="U35" s="1299"/>
      <c r="V35" s="2594" t="str">
        <f>IF(TITLE_NUMBER_PR_CHANGE="",IF(TITLE_NUMBER_PR="","",TITLE_NUMBER_PR),TITLE_NUMBER_PR_CHANGE)</f>
        <v>440,503</v>
      </c>
      <c r="W35" s="2594"/>
      <c r="X35" s="2594"/>
      <c r="Y35" s="2594"/>
      <c r="Z35" s="2594"/>
      <c r="AA35" s="2594"/>
      <c r="AB35" s="2594"/>
      <c r="AC35" s="1562"/>
      <c r="AD35" s="2594" t="str">
        <f>IF(TITLE_NUMBER_PR_CHANGE="",IF(TITLE_NUMBER_PR="","",TITLE_NUMBER_PR),TITLE_NUMBER_PR_CHANGE)</f>
        <v>440,503</v>
      </c>
      <c r="AE35" s="2594"/>
      <c r="AF35" s="2594"/>
      <c r="AG35" s="2594"/>
      <c r="AH35" s="2594"/>
      <c r="AI35" s="2594"/>
      <c r="AJ35" s="259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505</v>
      </c>
      <c r="AD36" s="1562"/>
      <c r="AE36" s="1562"/>
      <c r="AF36" s="1562"/>
      <c r="AG36" s="1562"/>
      <c r="AH36" s="1562"/>
      <c r="AI36" s="1562"/>
      <c r="AJ36" s="1562"/>
      <c r="AK36" s="1569" t="s">
        <v>505</v>
      </c>
      <c r="AN36" s="305"/>
      <c r="AO36" s="305"/>
      <c r="AP36" s="305"/>
      <c r="AQ36" s="305"/>
      <c r="AR36" s="305"/>
      <c r="AS36" s="355">
        <v>0</v>
      </c>
    </row>
    <row r="37" spans="1:45" ht="14.65" customHeight="1">
      <c r="Q37" s="313"/>
      <c r="R37" s="313"/>
      <c r="S37" s="1202"/>
      <c r="T37" s="394"/>
      <c r="U37" s="1171"/>
      <c r="V37" s="2613"/>
      <c r="W37" s="2613"/>
      <c r="X37" s="2613"/>
      <c r="Y37" s="2613"/>
      <c r="Z37" s="2613"/>
      <c r="AA37" s="2613"/>
      <c r="AB37" s="2613"/>
      <c r="AC37" s="2613"/>
      <c r="AD37" s="2613"/>
      <c r="AE37" s="2613"/>
      <c r="AF37" s="2613"/>
      <c r="AG37" s="2613"/>
      <c r="AH37" s="2613"/>
      <c r="AI37" s="2613"/>
      <c r="AJ37" s="2613"/>
      <c r="AK37" s="2613"/>
      <c r="AS37" s="1558">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558">
        <v>14</v>
      </c>
    </row>
    <row r="39" spans="1:45" ht="14.65" customHeight="1">
      <c r="Q39" s="313"/>
      <c r="R39" s="313"/>
      <c r="S39" s="2614" t="s">
        <v>88</v>
      </c>
      <c r="T39" s="2563" t="s">
        <v>506</v>
      </c>
      <c r="U39" s="274"/>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558">
        <v>14</v>
      </c>
    </row>
    <row r="40" spans="1:45" ht="35.65" customHeight="1">
      <c r="Q40" s="313"/>
      <c r="R40" s="313"/>
      <c r="S40" s="2614"/>
      <c r="T40" s="2563"/>
      <c r="U40" s="961"/>
      <c r="V40" s="2535" t="s">
        <v>511</v>
      </c>
      <c r="W40" s="2610" t="s">
        <v>512</v>
      </c>
      <c r="X40" s="2442" t="s">
        <v>513</v>
      </c>
      <c r="Y40" s="2441"/>
      <c r="Z40" s="2442" t="s">
        <v>526</v>
      </c>
      <c r="AA40" s="2448"/>
      <c r="AB40" s="2441"/>
      <c r="AC40" s="2619"/>
      <c r="AD40" s="2535" t="s">
        <v>511</v>
      </c>
      <c r="AE40" s="2610" t="s">
        <v>512</v>
      </c>
      <c r="AF40" s="2442" t="s">
        <v>513</v>
      </c>
      <c r="AG40" s="2441"/>
      <c r="AH40" s="2442" t="s">
        <v>514</v>
      </c>
      <c r="AI40" s="2448"/>
      <c r="AJ40" s="2441"/>
      <c r="AK40" s="2619"/>
      <c r="AL40" s="2622"/>
      <c r="AM40" s="2461"/>
      <c r="AS40" s="1558">
        <v>34</v>
      </c>
    </row>
    <row r="41" spans="1:45" ht="35.65" customHeight="1">
      <c r="A41" s="1193"/>
      <c r="B41" s="1193" t="s">
        <v>201</v>
      </c>
      <c r="C41" s="1193" t="s">
        <v>202</v>
      </c>
      <c r="D41" s="1193" t="s">
        <v>203</v>
      </c>
      <c r="E41" s="1237" t="s">
        <v>515</v>
      </c>
      <c r="F41" s="1237" t="s">
        <v>516</v>
      </c>
      <c r="G41" s="1237" t="s">
        <v>517</v>
      </c>
      <c r="H41" s="1237" t="s">
        <v>518</v>
      </c>
      <c r="I41" s="1237" t="s">
        <v>519</v>
      </c>
      <c r="J41" s="1237" t="s">
        <v>520</v>
      </c>
      <c r="K41" s="1237" t="s">
        <v>521</v>
      </c>
      <c r="L41" s="1237" t="s">
        <v>496</v>
      </c>
      <c r="Q41" s="313"/>
      <c r="R41" s="313"/>
      <c r="S41" s="2614"/>
      <c r="T41" s="2563"/>
      <c r="U41" s="239"/>
      <c r="V41" s="2587"/>
      <c r="W41" s="2611"/>
      <c r="X41" s="1861" t="s">
        <v>522</v>
      </c>
      <c r="Y41" s="1861" t="s">
        <v>523</v>
      </c>
      <c r="Z41" s="1861" t="s">
        <v>524</v>
      </c>
      <c r="AA41" s="2568" t="s">
        <v>525</v>
      </c>
      <c r="AB41" s="2581"/>
      <c r="AC41" s="2620"/>
      <c r="AD41" s="2587"/>
      <c r="AE41" s="2611"/>
      <c r="AF41" s="1861" t="s">
        <v>522</v>
      </c>
      <c r="AG41" s="1861" t="s">
        <v>523</v>
      </c>
      <c r="AH41" s="1861" t="s">
        <v>524</v>
      </c>
      <c r="AI41" s="2568" t="s">
        <v>525</v>
      </c>
      <c r="AJ41" s="2581"/>
      <c r="AK41" s="2620"/>
      <c r="AL41" s="2623"/>
      <c r="AM41" s="2461"/>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177</v>
      </c>
      <c r="T42" s="1182" t="s">
        <v>102</v>
      </c>
      <c r="U42" s="1172" t="str">
        <f ca="1">OFFSET(U42,0,-1)</f>
        <v>2</v>
      </c>
      <c r="V42" s="1879">
        <f ca="1">OFFSET(V42,0,-1)+1</f>
        <v>3</v>
      </c>
      <c r="W42" s="1879"/>
      <c r="X42" s="1879">
        <f ca="1">OFFSET(X42,0,-1)+1</f>
        <v>1</v>
      </c>
      <c r="Y42" s="1879">
        <f ca="1">OFFSET(Y42,0,-1)+1</f>
        <v>2</v>
      </c>
      <c r="Z42" s="1879">
        <f ca="1">OFFSET(Z42,0,-1)+1</f>
        <v>3</v>
      </c>
      <c r="AA42" s="2612">
        <f ca="1">OFFSET(AA42,0,-1)+1</f>
        <v>4</v>
      </c>
      <c r="AB42" s="2612"/>
      <c r="AC42" s="1879">
        <f ca="1">OFFSET(AC42,0,-2)+1</f>
        <v>5</v>
      </c>
      <c r="AD42" s="1879">
        <f ca="1">OFFSET(AD42,0,-1)+1</f>
        <v>6</v>
      </c>
      <c r="AE42" s="1879"/>
      <c r="AF42" s="1879">
        <f ca="1">OFFSET(AF42,0,-1)+1</f>
        <v>1</v>
      </c>
      <c r="AG42" s="1879">
        <f ca="1">OFFSET(AG42,0,-1)+1</f>
        <v>2</v>
      </c>
      <c r="AH42" s="1879">
        <f ca="1">OFFSET(AH42,0,-1)+1</f>
        <v>3</v>
      </c>
      <c r="AI42" s="2612">
        <f ca="1">OFFSET(AI42,0,-1)+1</f>
        <v>4</v>
      </c>
      <c r="AJ42" s="2612"/>
      <c r="AK42" s="1879">
        <f ca="1">OFFSET(AK42,0,-2)+1</f>
        <v>5</v>
      </c>
      <c r="AL42" s="1172">
        <f ca="1">OFFSET(AL42,0,-1)</f>
        <v>5</v>
      </c>
      <c r="AM42" s="1879">
        <f ca="1">OFFSET(AM42,0,-1)+1</f>
        <v>6</v>
      </c>
      <c r="AN42" s="1563"/>
      <c r="AO42" s="1563"/>
      <c r="AP42" s="1563"/>
      <c r="AQ42" s="1563"/>
      <c r="AR42" s="1563"/>
      <c r="AS42" s="1568">
        <v>0</v>
      </c>
    </row>
    <row r="43" spans="1:45" ht="21.95" customHeight="1">
      <c r="A43" s="1194" t="s">
        <v>276</v>
      </c>
      <c r="B43" s="1194"/>
      <c r="C43" s="1194"/>
      <c r="D43" s="1194"/>
      <c r="E43" s="262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276</v>
      </c>
      <c r="B44" s="1194" t="s">
        <v>277</v>
      </c>
      <c r="C44" s="1194"/>
      <c r="D44" s="1194"/>
      <c r="E44" s="2628"/>
      <c r="F44" s="2627">
        <v>1</v>
      </c>
      <c r="G44" s="1194"/>
      <c r="H44" s="1194"/>
      <c r="I44" s="1194"/>
      <c r="J44" s="1194"/>
      <c r="K44" s="1194"/>
      <c r="L44" s="1237"/>
      <c r="M44" s="1537"/>
      <c r="N44" s="1537"/>
      <c r="O44" s="1537"/>
      <c r="P44" s="1863"/>
      <c r="Q44" s="289"/>
      <c r="R44" s="290"/>
      <c r="S44" s="1881" t="str">
        <f>INDEX(PT_DIFFERENTIATION_NUM_TER,MATCH(B44,PT_DIFFERENTIATION_TER_ID,0))</f>
        <v>.</v>
      </c>
      <c r="T44" s="1449"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1551"/>
      <c r="AP44" s="1551" t="str">
        <f t="shared" si="1"/>
        <v>Территория действия тарифа</v>
      </c>
      <c r="AQ44" s="1551"/>
      <c r="AR44" s="1551"/>
      <c r="AS44" s="1558">
        <v>21</v>
      </c>
    </row>
    <row r="45" spans="1:45" ht="24" customHeight="1">
      <c r="A45" s="1194" t="s">
        <v>276</v>
      </c>
      <c r="B45" s="1194" t="s">
        <v>277</v>
      </c>
      <c r="C45" s="1194" t="s">
        <v>278</v>
      </c>
      <c r="D45" s="1194"/>
      <c r="E45" s="2628"/>
      <c r="F45" s="2628"/>
      <c r="G45" s="2627">
        <v>1</v>
      </c>
      <c r="H45" s="1194"/>
      <c r="I45" s="1194"/>
      <c r="J45" s="1194"/>
      <c r="K45" s="1194"/>
      <c r="L45" s="1237"/>
      <c r="M45" s="1537"/>
      <c r="N45" s="1537"/>
      <c r="O45" s="1537"/>
      <c r="P45" s="291"/>
      <c r="Q45" s="289"/>
      <c r="R45" s="290"/>
      <c r="S45" s="1881"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1551"/>
      <c r="AP45" s="1551" t="str">
        <f t="shared" si="1"/>
        <v xml:space="preserve">Наименование системы теплоснабжения </v>
      </c>
      <c r="AQ45" s="1551"/>
      <c r="AR45" s="1551"/>
      <c r="AS45" s="1558">
        <v>23</v>
      </c>
    </row>
    <row r="46" spans="1:45" ht="21.95" customHeight="1">
      <c r="A46" s="1194" t="s">
        <v>276</v>
      </c>
      <c r="B46" s="1194" t="s">
        <v>277</v>
      </c>
      <c r="C46" s="1194" t="s">
        <v>278</v>
      </c>
      <c r="D46" s="1194" t="s">
        <v>279</v>
      </c>
      <c r="E46" s="2628"/>
      <c r="F46" s="2628"/>
      <c r="G46" s="2628"/>
      <c r="H46" s="2627">
        <v>1</v>
      </c>
      <c r="I46" s="1194"/>
      <c r="J46" s="1194"/>
      <c r="K46" s="1194"/>
      <c r="L46" s="1237"/>
      <c r="M46" s="1537"/>
      <c r="N46" s="1537"/>
      <c r="O46" s="1537"/>
      <c r="P46" s="291"/>
      <c r="Q46" s="289"/>
      <c r="R46" s="290"/>
      <c r="S46" s="1881"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1551"/>
      <c r="AP46" s="1551" t="str">
        <f t="shared" si="1"/>
        <v xml:space="preserve">Источник тепловой энергии  </v>
      </c>
      <c r="AQ46" s="1551"/>
      <c r="AR46" s="1551"/>
      <c r="AS46" s="1558">
        <v>21</v>
      </c>
    </row>
    <row r="47" spans="1:45" ht="49.5" customHeight="1">
      <c r="A47" s="1194" t="s">
        <v>276</v>
      </c>
      <c r="B47" s="1194" t="s">
        <v>277</v>
      </c>
      <c r="C47" s="1194" t="s">
        <v>278</v>
      </c>
      <c r="D47" s="1194" t="s">
        <v>279</v>
      </c>
      <c r="E47" s="2628"/>
      <c r="F47" s="2628"/>
      <c r="G47" s="2628"/>
      <c r="H47" s="2628"/>
      <c r="I47" s="2461" t="str">
        <f>S46&amp;".1"</f>
        <v>....1</v>
      </c>
      <c r="J47" s="1194"/>
      <c r="K47" s="1194"/>
      <c r="L47" s="1237" t="s">
        <v>483</v>
      </c>
      <c r="P47" s="2605">
        <v>1</v>
      </c>
      <c r="Q47" s="1877"/>
      <c r="R47" s="293"/>
      <c r="S47" s="1881" t="str">
        <f>$I47</f>
        <v>....1</v>
      </c>
      <c r="T47" s="222" t="s">
        <v>484</v>
      </c>
      <c r="U47" s="237"/>
      <c r="V47" s="2589"/>
      <c r="W47" s="2590"/>
      <c r="X47" s="2590"/>
      <c r="Y47" s="2590"/>
      <c r="Z47" s="2590"/>
      <c r="AA47" s="2590"/>
      <c r="AB47" s="2590"/>
      <c r="AC47" s="2591"/>
      <c r="AD47" s="2589"/>
      <c r="AE47" s="2590"/>
      <c r="AF47" s="2590"/>
      <c r="AG47" s="2590"/>
      <c r="AH47" s="2590"/>
      <c r="AI47" s="2590"/>
      <c r="AJ47" s="2590"/>
      <c r="AK47" s="2590"/>
      <c r="AL47" s="2591"/>
      <c r="AM47" s="1185" t="s">
        <v>485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276</v>
      </c>
      <c r="B48" s="1194" t="s">
        <v>277</v>
      </c>
      <c r="C48" s="1194" t="s">
        <v>278</v>
      </c>
      <c r="D48" s="1194" t="s">
        <v>279</v>
      </c>
      <c r="E48" s="2628"/>
      <c r="F48" s="2628"/>
      <c r="G48" s="2628"/>
      <c r="H48" s="2628"/>
      <c r="I48" s="2442"/>
      <c r="J48" s="2461" t="str">
        <f>I47&amp;".1"</f>
        <v>....1.1</v>
      </c>
      <c r="K48" s="1194"/>
      <c r="L48" s="1237" t="s">
        <v>486</v>
      </c>
      <c r="P48" s="2605"/>
      <c r="Q48" s="2605">
        <v>1</v>
      </c>
      <c r="R48" s="294"/>
      <c r="S48" s="1881" t="str">
        <f>$J48</f>
        <v>....1.1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1551"/>
      <c r="AP48" s="1551" t="str">
        <f t="shared" si="1"/>
        <v>Группа потребителей</v>
      </c>
      <c r="AQ48" s="1551"/>
      <c r="AR48" s="1551"/>
      <c r="AS48" s="1558">
        <v>21</v>
      </c>
    </row>
    <row r="49" spans="1:45" ht="21.95" customHeight="1">
      <c r="A49" s="1194" t="s">
        <v>276</v>
      </c>
      <c r="B49" s="1194" t="s">
        <v>277</v>
      </c>
      <c r="C49" s="1194" t="s">
        <v>278</v>
      </c>
      <c r="D49" s="1194" t="s">
        <v>279</v>
      </c>
      <c r="E49" s="2628"/>
      <c r="F49" s="2628"/>
      <c r="G49" s="2628"/>
      <c r="H49" s="2628"/>
      <c r="I49" s="2442"/>
      <c r="J49" s="2442"/>
      <c r="K49" s="2461" t="str">
        <f>J48&amp;".1"</f>
        <v>....1.1.1</v>
      </c>
      <c r="L49" s="1237" t="s">
        <v>489</v>
      </c>
      <c r="P49" s="2605"/>
      <c r="Q49" s="2605"/>
      <c r="R49" s="294">
        <v>1</v>
      </c>
      <c r="S49" s="1881" t="str">
        <f>$K49</f>
        <v>....1.1.1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490</v>
      </c>
      <c r="AN49" s="1563" t="e">
        <f ca="1">STRCHECKDATE(V50:AL50)</f>
        <v>#NAME?</v>
      </c>
      <c r="AO49" s="1551"/>
      <c r="AP49" s="1551" t="str">
        <f t="shared" si="1"/>
        <v/>
      </c>
      <c r="AQ49" s="1551"/>
      <c r="AR49" s="1551"/>
      <c r="AS49" s="1558">
        <v>21</v>
      </c>
    </row>
    <row r="50" spans="1:45" ht="1.1499999999999999" customHeight="1">
      <c r="A50" s="1194" t="s">
        <v>276</v>
      </c>
      <c r="B50" s="1194" t="s">
        <v>277</v>
      </c>
      <c r="C50" s="1194" t="s">
        <v>278</v>
      </c>
      <c r="D50" s="1194" t="s">
        <v>279</v>
      </c>
      <c r="E50" s="2628"/>
      <c r="F50" s="2628"/>
      <c r="G50" s="2628"/>
      <c r="H50" s="2628"/>
      <c r="I50" s="2442"/>
      <c r="J50" s="2442"/>
      <c r="K50" s="2461"/>
      <c r="L50" s="1237"/>
      <c r="P50" s="2605"/>
      <c r="Q50" s="2605"/>
      <c r="R50" s="294"/>
      <c r="S50" s="1890"/>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1551"/>
      <c r="AP50" s="1551" t="str">
        <f t="shared" si="1"/>
        <v/>
      </c>
      <c r="AQ50" s="1551"/>
      <c r="AR50" s="1551"/>
      <c r="AS50" s="1558">
        <v>1</v>
      </c>
    </row>
    <row r="51" spans="1:45" ht="11.45" customHeight="1">
      <c r="A51" s="1194" t="s">
        <v>276</v>
      </c>
      <c r="B51" s="1194" t="s">
        <v>277</v>
      </c>
      <c r="C51" s="1194" t="s">
        <v>278</v>
      </c>
      <c r="D51" s="1194" t="s">
        <v>279</v>
      </c>
      <c r="E51" s="2628"/>
      <c r="F51" s="2628"/>
      <c r="G51" s="2628"/>
      <c r="H51" s="2628"/>
      <c r="I51" s="2442"/>
      <c r="J51" s="2461"/>
      <c r="K51" s="1194"/>
      <c r="L51" s="1237"/>
      <c r="P51" s="2605"/>
      <c r="Q51" s="2605"/>
      <c r="R51" s="293"/>
      <c r="S51" s="1205"/>
      <c r="T51" s="225" t="s">
        <v>491</v>
      </c>
      <c r="U51" s="537"/>
      <c r="V51" s="537"/>
      <c r="W51" s="537"/>
      <c r="X51" s="537"/>
      <c r="Y51" s="537"/>
      <c r="Z51" s="537"/>
      <c r="AA51" s="537"/>
      <c r="AB51" s="537"/>
      <c r="AC51" s="537"/>
      <c r="AD51" s="537"/>
      <c r="AE51" s="537"/>
      <c r="AF51" s="537"/>
      <c r="AG51" s="537"/>
      <c r="AH51" s="537"/>
      <c r="AI51" s="537"/>
      <c r="AJ51" s="537"/>
      <c r="AK51" s="537"/>
      <c r="AL51" s="261"/>
      <c r="AM51" s="2626"/>
      <c r="AO51" s="1551"/>
      <c r="AP51" s="1551" t="str">
        <f t="shared" si="1"/>
        <v>Добавить вид теплоносителя (параметры теплоносителя)</v>
      </c>
      <c r="AQ51" s="1551"/>
      <c r="AR51" s="1551"/>
      <c r="AS51" s="1558">
        <v>11</v>
      </c>
    </row>
    <row r="52" spans="1:45" ht="11.45" customHeight="1">
      <c r="A52" s="1194" t="s">
        <v>276</v>
      </c>
      <c r="B52" s="1194" t="s">
        <v>277</v>
      </c>
      <c r="C52" s="1194" t="s">
        <v>278</v>
      </c>
      <c r="D52" s="1194" t="s">
        <v>279</v>
      </c>
      <c r="E52" s="2628"/>
      <c r="F52" s="2628"/>
      <c r="G52" s="2628"/>
      <c r="H52" s="2628"/>
      <c r="I52" s="2461"/>
      <c r="J52" s="1194"/>
      <c r="K52" s="1194"/>
      <c r="L52" s="1237"/>
      <c r="P52" s="2605"/>
      <c r="Q52" s="1877"/>
      <c r="R52" s="293"/>
      <c r="S52" s="1205"/>
      <c r="T52" s="224" t="s">
        <v>492</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276</v>
      </c>
      <c r="B53" s="1194" t="s">
        <v>277</v>
      </c>
      <c r="C53" s="1194" t="s">
        <v>278</v>
      </c>
      <c r="D53" s="1194" t="s">
        <v>279</v>
      </c>
      <c r="E53" s="2628"/>
      <c r="F53" s="2628"/>
      <c r="G53" s="2628"/>
      <c r="H53" s="2627"/>
      <c r="I53" s="1194"/>
      <c r="J53" s="1194"/>
      <c r="K53" s="1194"/>
      <c r="L53" s="1237"/>
      <c r="M53" s="1537"/>
      <c r="N53" s="1537"/>
      <c r="O53" s="1562"/>
      <c r="P53" s="297"/>
      <c r="Q53" s="312"/>
      <c r="R53" s="292"/>
      <c r="S53" s="1205"/>
      <c r="T53" s="302" t="s">
        <v>493</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276</v>
      </c>
      <c r="B54" s="1302" t="s">
        <v>277</v>
      </c>
      <c r="C54" s="1302" t="s">
        <v>278</v>
      </c>
      <c r="D54" s="1301"/>
      <c r="E54" s="2628"/>
      <c r="F54" s="2628"/>
      <c r="G54" s="2627"/>
      <c r="H54" s="1301"/>
      <c r="I54" s="1301"/>
      <c r="J54" s="1301"/>
      <c r="K54" s="1301"/>
      <c r="L54" s="1304"/>
      <c r="M54" s="1305"/>
      <c r="N54" s="1305"/>
      <c r="O54" s="288"/>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276</v>
      </c>
      <c r="B55" s="1302" t="s">
        <v>277</v>
      </c>
      <c r="C55" s="1301"/>
      <c r="D55" s="1301"/>
      <c r="E55" s="2628"/>
      <c r="F55" s="2627"/>
      <c r="G55" s="1301"/>
      <c r="H55" s="1301"/>
      <c r="I55" s="1301"/>
      <c r="J55" s="1301"/>
      <c r="K55" s="1301"/>
      <c r="L55" s="1304"/>
      <c r="M55" s="1306"/>
      <c r="N55" s="1306"/>
      <c r="O55" s="28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276</v>
      </c>
      <c r="B56" s="1302"/>
      <c r="C56" s="1302"/>
      <c r="D56" s="1302"/>
      <c r="E56" s="2627"/>
      <c r="F56" s="1302"/>
      <c r="G56" s="1302"/>
      <c r="H56" s="1302"/>
      <c r="I56" s="1302"/>
      <c r="J56" s="1302"/>
      <c r="K56" s="1302"/>
      <c r="L56" s="1308"/>
      <c r="M56" s="1306"/>
      <c r="N56" s="1306"/>
      <c r="O56" s="288"/>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558">
        <v>27</v>
      </c>
    </row>
    <row r="60" spans="1:45" ht="65.25" customHeight="1">
      <c r="O60" s="1562"/>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558">
        <v>62</v>
      </c>
    </row>
    <row r="61" spans="1:45" ht="14.65" customHeight="1">
      <c r="O61" s="1562"/>
      <c r="AS61" s="1558">
        <v>14</v>
      </c>
    </row>
    <row r="62" spans="1:45" ht="18.75" customHeight="1">
      <c r="O62" s="1562"/>
      <c r="S62" s="1180"/>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558">
        <v>18</v>
      </c>
    </row>
    <row r="63" spans="1:45" ht="18.75" customHeight="1">
      <c r="O63" s="1562"/>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558">
        <v>18</v>
      </c>
    </row>
    <row r="64" spans="1:45" ht="29.25" customHeight="1">
      <c r="O64" s="1562"/>
      <c r="S64" s="1180"/>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7" hidden="1" customWidth="1"/>
    <col min="15" max="15" width="23.42578125" style="2017" hidden="1" customWidth="1"/>
    <col min="16" max="16" width="3" style="2017"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627">
        <v>1</v>
      </c>
      <c r="F2" s="1194"/>
      <c r="G2" s="1194"/>
      <c r="H2" s="1194"/>
      <c r="I2" s="1194"/>
      <c r="J2" s="1194"/>
      <c r="K2" s="1194"/>
      <c r="L2" s="1237"/>
      <c r="M2" s="1537"/>
      <c r="N2" s="1537"/>
      <c r="O2" s="1537"/>
      <c r="P2" s="1517"/>
      <c r="Q2" s="297"/>
      <c r="R2" s="292"/>
      <c r="S2" s="1881" t="e">
        <f>INDEX(PT_DIFFERENTIATION_NUM_NTAR,MATCH(A2,PT_DIFFERENTIATION_NTAR_ID,0))</f>
        <v>#N/A</v>
      </c>
      <c r="T2" s="1452"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1551"/>
      <c r="AP2" s="1551" t="str">
        <f t="shared" ref="AP2:AP15" si="0">IF(T2="","",T2)</f>
        <v>Наименование тарифа</v>
      </c>
      <c r="AQ2" s="1551"/>
      <c r="AR2" s="1551"/>
      <c r="AS2" s="1558">
        <v>0</v>
      </c>
    </row>
    <row r="3" spans="1:45" ht="21" hidden="1" customHeight="1">
      <c r="A3" s="1194"/>
      <c r="B3" s="1194"/>
      <c r="C3" s="1194"/>
      <c r="D3" s="1194"/>
      <c r="E3" s="2628"/>
      <c r="F3" s="2627">
        <v>1</v>
      </c>
      <c r="G3" s="1194"/>
      <c r="H3" s="1194"/>
      <c r="I3" s="1194"/>
      <c r="J3" s="1194"/>
      <c r="K3" s="1194"/>
      <c r="L3" s="1237"/>
      <c r="M3" s="1537"/>
      <c r="N3" s="1537"/>
      <c r="O3" s="1537"/>
      <c r="P3" s="1863"/>
      <c r="Q3" s="289"/>
      <c r="R3" s="290"/>
      <c r="S3" s="1881" t="e">
        <f>INDEX(PT_DIFFERENTIATION_NUM_TER,MATCH(B3,PT_DIFFERENTIATION_TER_ID,0))</f>
        <v>#N/A</v>
      </c>
      <c r="T3" s="1449"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1551"/>
      <c r="AP3" s="1551" t="str">
        <f t="shared" si="0"/>
        <v>Территория действия тарифа</v>
      </c>
      <c r="AQ3" s="1551"/>
      <c r="AR3" s="1551"/>
      <c r="AS3" s="1558">
        <v>0</v>
      </c>
    </row>
    <row r="4" spans="1:45" ht="23.25" hidden="1" customHeight="1">
      <c r="A4" s="1194"/>
      <c r="B4" s="1194"/>
      <c r="C4" s="1194"/>
      <c r="D4" s="1194"/>
      <c r="E4" s="2628"/>
      <c r="F4" s="2628"/>
      <c r="G4" s="2627">
        <v>1</v>
      </c>
      <c r="H4" s="1194"/>
      <c r="I4" s="1194"/>
      <c r="J4" s="1194"/>
      <c r="K4" s="1194"/>
      <c r="L4" s="1237"/>
      <c r="M4" s="1537"/>
      <c r="N4" s="1537"/>
      <c r="O4" s="1537"/>
      <c r="P4" s="291"/>
      <c r="Q4" s="289"/>
      <c r="R4" s="290"/>
      <c r="S4" s="1881"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628"/>
      <c r="F5" s="2628"/>
      <c r="G5" s="2628"/>
      <c r="H5" s="2627">
        <v>1</v>
      </c>
      <c r="I5" s="1194"/>
      <c r="J5" s="1194"/>
      <c r="K5" s="1194"/>
      <c r="L5" s="1237"/>
      <c r="M5" s="1537"/>
      <c r="N5" s="1537"/>
      <c r="O5" s="1537"/>
      <c r="P5" s="291"/>
      <c r="Q5" s="289"/>
      <c r="R5" s="290"/>
      <c r="S5" s="1881"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1551"/>
      <c r="AP5" s="1551" t="str">
        <f t="shared" si="0"/>
        <v xml:space="preserve">Источник тепловой энергии  </v>
      </c>
      <c r="AQ5" s="1551"/>
      <c r="AR5" s="1551"/>
      <c r="AS5" s="1558">
        <v>0</v>
      </c>
    </row>
    <row r="6" spans="1:45" ht="47.25" hidden="1" customHeight="1">
      <c r="A6" s="1194"/>
      <c r="B6" s="1194"/>
      <c r="C6" s="1194"/>
      <c r="D6" s="1194"/>
      <c r="E6" s="2628"/>
      <c r="F6" s="2628"/>
      <c r="G6" s="2628"/>
      <c r="H6" s="2628"/>
      <c r="I6" s="2461" t="e">
        <f>S5&amp;".1"</f>
        <v>#N/A</v>
      </c>
      <c r="J6" s="1194"/>
      <c r="K6" s="1194"/>
      <c r="L6" s="1237" t="s">
        <v>483</v>
      </c>
      <c r="M6" s="1562"/>
      <c r="P6" s="2605">
        <v>1</v>
      </c>
      <c r="Q6" s="1877"/>
      <c r="R6" s="293"/>
      <c r="S6" s="1881" t="e">
        <f>$I6</f>
        <v>#N/A</v>
      </c>
      <c r="T6" s="222" t="s">
        <v>484</v>
      </c>
      <c r="U6" s="237"/>
      <c r="V6" s="2589"/>
      <c r="W6" s="2590"/>
      <c r="X6" s="2590"/>
      <c r="Y6" s="2590"/>
      <c r="Z6" s="2590"/>
      <c r="AA6" s="2590"/>
      <c r="AB6" s="2590"/>
      <c r="AC6" s="2591"/>
      <c r="AD6" s="2589"/>
      <c r="AE6" s="2590"/>
      <c r="AF6" s="2590"/>
      <c r="AG6" s="2590"/>
      <c r="AH6" s="2590"/>
      <c r="AI6" s="2590"/>
      <c r="AJ6" s="2590"/>
      <c r="AK6" s="2590"/>
      <c r="AL6" s="2591"/>
      <c r="AM6" s="1185" t="s">
        <v>485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628"/>
      <c r="F7" s="2628"/>
      <c r="G7" s="2628"/>
      <c r="H7" s="2628"/>
      <c r="I7" s="2442"/>
      <c r="J7" s="2461" t="e">
        <f>I6&amp;".1"</f>
        <v>#N/A</v>
      </c>
      <c r="K7" s="1194"/>
      <c r="L7" s="1237" t="s">
        <v>486</v>
      </c>
      <c r="M7" s="1562"/>
      <c r="N7" s="1558"/>
      <c r="P7" s="2605"/>
      <c r="Q7" s="2605">
        <v>1</v>
      </c>
      <c r="R7" s="294"/>
      <c r="S7" s="1881"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1551"/>
      <c r="AP7" s="1551" t="str">
        <f t="shared" si="0"/>
        <v>Группа потребителей</v>
      </c>
      <c r="AQ7" s="1551"/>
      <c r="AR7" s="1551"/>
      <c r="AS7" s="1558">
        <v>0</v>
      </c>
    </row>
    <row r="8" spans="1:45" ht="21" hidden="1" customHeight="1">
      <c r="A8" s="1194"/>
      <c r="B8" s="1194"/>
      <c r="C8" s="1194"/>
      <c r="D8" s="1194"/>
      <c r="E8" s="2628"/>
      <c r="F8" s="2628"/>
      <c r="G8" s="2628"/>
      <c r="H8" s="2628"/>
      <c r="I8" s="2442"/>
      <c r="J8" s="2442"/>
      <c r="K8" s="2461" t="e">
        <f>J7&amp;".1"</f>
        <v>#N/A</v>
      </c>
      <c r="L8" s="1237" t="s">
        <v>489</v>
      </c>
      <c r="M8" s="1562"/>
      <c r="N8" s="1558"/>
      <c r="O8" s="1558"/>
      <c r="P8" s="2605"/>
      <c r="Q8" s="2605"/>
      <c r="R8" s="294">
        <v>1</v>
      </c>
      <c r="S8" s="1881" t="e">
        <f>$K8</f>
        <v>#N/A</v>
      </c>
      <c r="T8" s="1274"/>
      <c r="U8" s="237"/>
      <c r="V8" s="688"/>
      <c r="W8" s="262"/>
      <c r="X8" s="688"/>
      <c r="Y8" s="1184"/>
      <c r="Z8" s="2606"/>
      <c r="AA8" s="2471" t="s">
        <v>66</v>
      </c>
      <c r="AB8" s="2606"/>
      <c r="AC8" s="2471" t="s">
        <v>66</v>
      </c>
      <c r="AD8" s="688"/>
      <c r="AE8" s="262"/>
      <c r="AF8" s="688"/>
      <c r="AG8" s="1184"/>
      <c r="AH8" s="2606"/>
      <c r="AI8" s="2471" t="s">
        <v>66</v>
      </c>
      <c r="AJ8" s="2606"/>
      <c r="AK8" s="2471" t="s">
        <v>66</v>
      </c>
      <c r="AL8" s="262"/>
      <c r="AM8" s="2624" t="s">
        <v>490</v>
      </c>
      <c r="AN8" s="1563" t="e">
        <f ca="1">STRCHECKDATE(V9:AL9)</f>
        <v>#NAME?</v>
      </c>
      <c r="AO8" s="1551"/>
      <c r="AP8" s="1551" t="str">
        <f t="shared" si="0"/>
        <v/>
      </c>
      <c r="AQ8" s="1551"/>
      <c r="AR8" s="1551"/>
      <c r="AS8" s="1558">
        <v>0</v>
      </c>
    </row>
    <row r="9" spans="1:45" ht="0.75" hidden="1" customHeight="1">
      <c r="A9" s="1194"/>
      <c r="B9" s="1194"/>
      <c r="C9" s="1194"/>
      <c r="D9" s="1194"/>
      <c r="E9" s="2628"/>
      <c r="F9" s="2628"/>
      <c r="G9" s="2628"/>
      <c r="H9" s="2628"/>
      <c r="I9" s="2442"/>
      <c r="J9" s="2442"/>
      <c r="K9" s="2461"/>
      <c r="L9" s="1237"/>
      <c r="M9" s="1562"/>
      <c r="N9" s="1558"/>
      <c r="O9" s="1558"/>
      <c r="P9" s="2605"/>
      <c r="Q9" s="2605"/>
      <c r="R9" s="294"/>
      <c r="S9" s="1890"/>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1551"/>
      <c r="AP9" s="1551" t="str">
        <f t="shared" si="0"/>
        <v/>
      </c>
      <c r="AQ9" s="1551"/>
      <c r="AR9" s="1551"/>
      <c r="AS9" s="1558">
        <v>0</v>
      </c>
    </row>
    <row r="10" spans="1:45" ht="15" hidden="1" customHeight="1">
      <c r="A10" s="1194"/>
      <c r="B10" s="1194"/>
      <c r="C10" s="1194"/>
      <c r="D10" s="1194"/>
      <c r="E10" s="2628"/>
      <c r="F10" s="2628"/>
      <c r="G10" s="2628"/>
      <c r="H10" s="2628"/>
      <c r="I10" s="2442"/>
      <c r="J10" s="2461"/>
      <c r="K10" s="1194"/>
      <c r="L10" s="1237"/>
      <c r="M10" s="1562"/>
      <c r="N10" s="1558"/>
      <c r="P10" s="2605"/>
      <c r="Q10" s="2605"/>
      <c r="R10" s="293"/>
      <c r="S10" s="1205"/>
      <c r="T10" s="225" t="s">
        <v>491</v>
      </c>
      <c r="U10" s="537"/>
      <c r="V10" s="537"/>
      <c r="W10" s="537"/>
      <c r="X10" s="537"/>
      <c r="Y10" s="537"/>
      <c r="Z10" s="537"/>
      <c r="AA10" s="537"/>
      <c r="AB10" s="537"/>
      <c r="AC10" s="537"/>
      <c r="AD10" s="537"/>
      <c r="AE10" s="537"/>
      <c r="AF10" s="537"/>
      <c r="AG10" s="537"/>
      <c r="AH10" s="537"/>
      <c r="AI10" s="537"/>
      <c r="AJ10" s="537"/>
      <c r="AK10" s="537"/>
      <c r="AL10" s="261"/>
      <c r="AM10" s="262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628"/>
      <c r="F11" s="2628"/>
      <c r="G11" s="2628"/>
      <c r="H11" s="2628"/>
      <c r="I11" s="2461"/>
      <c r="J11" s="1194"/>
      <c r="K11" s="1194"/>
      <c r="L11" s="1237"/>
      <c r="M11" s="1562"/>
      <c r="P11" s="2605"/>
      <c r="Q11" s="1877"/>
      <c r="R11" s="293"/>
      <c r="S11" s="1205"/>
      <c r="T11" s="224" t="s">
        <v>492</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628"/>
      <c r="F12" s="2628"/>
      <c r="G12" s="2628"/>
      <c r="H12" s="2627"/>
      <c r="I12" s="1194"/>
      <c r="J12" s="1194"/>
      <c r="K12" s="1194"/>
      <c r="L12" s="1237"/>
      <c r="M12" s="1537"/>
      <c r="N12" s="1537"/>
      <c r="O12" s="1562"/>
      <c r="P12" s="297"/>
      <c r="Q12" s="312"/>
      <c r="R12" s="292"/>
      <c r="S12" s="1205"/>
      <c r="T12" s="302" t="s">
        <v>493</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628"/>
      <c r="F13" s="2628"/>
      <c r="G13" s="2627"/>
      <c r="H13" s="1897"/>
      <c r="I13" s="1897"/>
      <c r="J13" s="1897"/>
      <c r="K13" s="1897"/>
      <c r="L13" s="1307"/>
      <c r="M13" s="1537"/>
      <c r="N13" s="1537"/>
      <c r="O13" s="156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628"/>
      <c r="F14" s="2627"/>
      <c r="G14" s="1897"/>
      <c r="H14" s="1897"/>
      <c r="I14" s="1897"/>
      <c r="J14" s="1897"/>
      <c r="K14" s="1897"/>
      <c r="L14" s="1307"/>
      <c r="M14" s="1898"/>
      <c r="N14" s="1898"/>
      <c r="O14" s="1562"/>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627"/>
      <c r="F15" s="1897"/>
      <c r="G15" s="1897"/>
      <c r="H15" s="1897"/>
      <c r="I15" s="1897"/>
      <c r="J15" s="1897"/>
      <c r="K15" s="1897"/>
      <c r="L15" s="1307"/>
      <c r="M15" s="1898"/>
      <c r="N15" s="1898"/>
      <c r="O15" s="1562"/>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599"/>
      <c r="AI17" s="2598" t="s">
        <v>66</v>
      </c>
      <c r="AJ17" s="2599"/>
      <c r="AK17" s="2598" t="s">
        <v>66</v>
      </c>
      <c r="AS17" s="1558">
        <v>0</v>
      </c>
    </row>
    <row r="18" spans="1:45" ht="14.25" hidden="1" customHeight="1">
      <c r="AD18" s="1287"/>
      <c r="AE18" s="1287"/>
      <c r="AF18" s="1287"/>
      <c r="AG18" s="265" t="str">
        <f>AH17&amp;"-"&amp;AJ17</f>
        <v>-</v>
      </c>
      <c r="AH18" s="2598"/>
      <c r="AI18" s="2598"/>
      <c r="AJ18" s="2598"/>
      <c r="AK18" s="259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495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496</v>
      </c>
      <c r="P22" s="1289"/>
      <c r="Q22" s="1298"/>
      <c r="R22" s="1298"/>
      <c r="S22" s="666"/>
      <c r="T22" s="1293" t="s">
        <v>497</v>
      </c>
      <c r="AA22" s="532" t="s">
        <v>498</v>
      </c>
      <c r="AC22" s="532" t="s">
        <v>499</v>
      </c>
      <c r="AD22" s="1293" t="s">
        <v>497</v>
      </c>
      <c r="AI22" s="532" t="s">
        <v>500</v>
      </c>
      <c r="AK22" s="532" t="s">
        <v>499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5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82"/>
      <c r="U26" s="2582"/>
      <c r="V26" s="2582"/>
      <c r="W26" s="2582"/>
      <c r="X26" s="2582"/>
      <c r="Y26" s="2582"/>
      <c r="Z26" s="2582"/>
      <c r="AA26" s="2582"/>
      <c r="AB26" s="2582"/>
      <c r="AC26" s="2582"/>
      <c r="AD26" s="2582"/>
      <c r="AE26" s="2582"/>
      <c r="AF26" s="2582"/>
      <c r="AG26" s="2582"/>
      <c r="AH26" s="2582"/>
      <c r="AI26" s="2582"/>
      <c r="AJ26" s="2582"/>
      <c r="AK26" s="1170"/>
      <c r="AS26" s="1558">
        <v>14</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1562"/>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592" t="s">
        <v>501</v>
      </c>
      <c r="T30" s="2592"/>
      <c r="U30" s="1299"/>
      <c r="V30" s="2593">
        <f>IF(TITLE_DATE_PR_CHANGE="",IF(TITLE_DATE_PR="","",TITLE_DATE_PR),TITLE_DATE_PR_CHANGE)</f>
        <v>45596.468541666669</v>
      </c>
      <c r="W30" s="2593"/>
      <c r="X30" s="2593"/>
      <c r="Y30" s="2593"/>
      <c r="Z30" s="2593"/>
      <c r="AA30" s="2593"/>
      <c r="AB30" s="2593"/>
      <c r="AC30" s="1562"/>
      <c r="AD30" s="2593">
        <f>IF(TITLE_DATE_PR_CHANGE="",IF(TITLE_DATE_PR="","",TITLE_DATE_PR),TITLE_DATE_PR_CHANGE)</f>
        <v>45596.468541666669</v>
      </c>
      <c r="AE30" s="2593"/>
      <c r="AF30" s="2593"/>
      <c r="AG30" s="2593"/>
      <c r="AH30" s="2593"/>
      <c r="AI30" s="2593"/>
      <c r="AJ30" s="259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592" t="s">
        <v>502</v>
      </c>
      <c r="T31" s="2592"/>
      <c r="U31" s="1299"/>
      <c r="V31" s="2594" t="str">
        <f>IF(TITLE_NUMBER_PR_CHANGE="",IF(TITLE_NUMBER_PR="","",TITLE_NUMBER_PR),TITLE_NUMBER_PR_CHANGE)</f>
        <v>440,503</v>
      </c>
      <c r="W31" s="2594"/>
      <c r="X31" s="2594"/>
      <c r="Y31" s="2594"/>
      <c r="Z31" s="2594"/>
      <c r="AA31" s="2594"/>
      <c r="AB31" s="2594"/>
      <c r="AC31" s="1562"/>
      <c r="AD31" s="2594" t="str">
        <f>IF(TITLE_NUMBER_PR_CHANGE="",IF(TITLE_NUMBER_PR="","",TITLE_NUMBER_PR),TITLE_NUMBER_PR_CHANGE)</f>
        <v>440,503</v>
      </c>
      <c r="AE31" s="2594"/>
      <c r="AF31" s="2594"/>
      <c r="AG31" s="2594"/>
      <c r="AH31" s="2594"/>
      <c r="AI31" s="2594"/>
      <c r="AJ31" s="259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1562"/>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592" t="s">
        <v>503</v>
      </c>
      <c r="T34" s="2592"/>
      <c r="U34" s="1299"/>
      <c r="V34" s="2593">
        <f>IF(TITLE_DATE_PR_CHANGE="",IF(TITLE_DATE_PR="","",TITLE_DATE_PR),TITLE_DATE_PR_CHANGE)</f>
        <v>45596.468541666669</v>
      </c>
      <c r="W34" s="2593"/>
      <c r="X34" s="2593"/>
      <c r="Y34" s="2593"/>
      <c r="Z34" s="2593"/>
      <c r="AA34" s="2593"/>
      <c r="AB34" s="2593"/>
      <c r="AC34" s="1562"/>
      <c r="AD34" s="2593">
        <f>IF(TITLE_DATE_PR_CHANGE="",IF(TITLE_DATE_PR="","",TITLE_DATE_PR),TITLE_DATE_PR_CHANGE)</f>
        <v>45596.468541666669</v>
      </c>
      <c r="AE34" s="2593"/>
      <c r="AF34" s="2593"/>
      <c r="AG34" s="2593"/>
      <c r="AH34" s="2593"/>
      <c r="AI34" s="2593"/>
      <c r="AJ34" s="259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592" t="s">
        <v>504</v>
      </c>
      <c r="T35" s="2592"/>
      <c r="U35" s="1299"/>
      <c r="V35" s="2594" t="str">
        <f>IF(TITLE_NUMBER_PR_CHANGE="",IF(TITLE_NUMBER_PR="","",TITLE_NUMBER_PR),TITLE_NUMBER_PR_CHANGE)</f>
        <v>440,503</v>
      </c>
      <c r="W35" s="2594"/>
      <c r="X35" s="2594"/>
      <c r="Y35" s="2594"/>
      <c r="Z35" s="2594"/>
      <c r="AA35" s="2594"/>
      <c r="AB35" s="2594"/>
      <c r="AC35" s="1562"/>
      <c r="AD35" s="2594" t="str">
        <f>IF(TITLE_NUMBER_PR_CHANGE="",IF(TITLE_NUMBER_PR="","",TITLE_NUMBER_PR),TITLE_NUMBER_PR_CHANGE)</f>
        <v>440,503</v>
      </c>
      <c r="AE35" s="2594"/>
      <c r="AF35" s="2594"/>
      <c r="AG35" s="2594"/>
      <c r="AH35" s="2594"/>
      <c r="AI35" s="2594"/>
      <c r="AJ35" s="259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505</v>
      </c>
      <c r="AD36" s="1562"/>
      <c r="AE36" s="1562"/>
      <c r="AF36" s="1562"/>
      <c r="AG36" s="1562"/>
      <c r="AH36" s="1562"/>
      <c r="AI36" s="1562"/>
      <c r="AJ36" s="1562"/>
      <c r="AK36" s="1569" t="s">
        <v>505</v>
      </c>
      <c r="AN36" s="305"/>
      <c r="AO36" s="305"/>
      <c r="AP36" s="305"/>
      <c r="AQ36" s="305"/>
      <c r="AR36" s="305"/>
      <c r="AS36" s="355">
        <v>0</v>
      </c>
    </row>
    <row r="37" spans="1:45" ht="14.65" customHeight="1">
      <c r="Q37" s="313"/>
      <c r="R37" s="313"/>
      <c r="S37" s="1202"/>
      <c r="T37" s="394"/>
      <c r="U37" s="1171"/>
      <c r="V37" s="2613"/>
      <c r="W37" s="2613"/>
      <c r="X37" s="2613"/>
      <c r="Y37" s="2613"/>
      <c r="Z37" s="2613"/>
      <c r="AA37" s="2613"/>
      <c r="AB37" s="2613"/>
      <c r="AC37" s="2613"/>
      <c r="AD37" s="2613"/>
      <c r="AE37" s="2613"/>
      <c r="AF37" s="2613"/>
      <c r="AG37" s="2613"/>
      <c r="AH37" s="2613"/>
      <c r="AI37" s="2613"/>
      <c r="AJ37" s="2613"/>
      <c r="AK37" s="2613"/>
      <c r="AS37" s="1558">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558">
        <v>14</v>
      </c>
    </row>
    <row r="39" spans="1:45" ht="14.65" customHeight="1">
      <c r="Q39" s="313"/>
      <c r="R39" s="313"/>
      <c r="S39" s="2614" t="s">
        <v>88</v>
      </c>
      <c r="T39" s="2563" t="s">
        <v>506</v>
      </c>
      <c r="U39" s="274"/>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558">
        <v>14</v>
      </c>
    </row>
    <row r="40" spans="1:45" ht="35.65" customHeight="1">
      <c r="Q40" s="313"/>
      <c r="R40" s="313"/>
      <c r="S40" s="2614"/>
      <c r="T40" s="2563"/>
      <c r="U40" s="961"/>
      <c r="V40" s="2535" t="s">
        <v>511</v>
      </c>
      <c r="W40" s="2610" t="s">
        <v>512</v>
      </c>
      <c r="X40" s="2442" t="s">
        <v>513</v>
      </c>
      <c r="Y40" s="2441"/>
      <c r="Z40" s="2442" t="s">
        <v>526</v>
      </c>
      <c r="AA40" s="2448"/>
      <c r="AB40" s="2441"/>
      <c r="AC40" s="2619"/>
      <c r="AD40" s="2535" t="s">
        <v>511</v>
      </c>
      <c r="AE40" s="2610" t="s">
        <v>512</v>
      </c>
      <c r="AF40" s="2442" t="s">
        <v>513</v>
      </c>
      <c r="AG40" s="2441"/>
      <c r="AH40" s="2442" t="s">
        <v>514</v>
      </c>
      <c r="AI40" s="2448"/>
      <c r="AJ40" s="2441"/>
      <c r="AK40" s="2619"/>
      <c r="AL40" s="2622"/>
      <c r="AM40" s="2461"/>
      <c r="AS40" s="1558">
        <v>34</v>
      </c>
    </row>
    <row r="41" spans="1:45" ht="35.65" customHeight="1">
      <c r="A41" s="1193"/>
      <c r="B41" s="1193" t="s">
        <v>201</v>
      </c>
      <c r="C41" s="1193" t="s">
        <v>202</v>
      </c>
      <c r="D41" s="1193" t="s">
        <v>203</v>
      </c>
      <c r="E41" s="1237" t="s">
        <v>515</v>
      </c>
      <c r="F41" s="1237" t="s">
        <v>516</v>
      </c>
      <c r="G41" s="1237" t="s">
        <v>517</v>
      </c>
      <c r="H41" s="1237" t="s">
        <v>518</v>
      </c>
      <c r="I41" s="1237" t="s">
        <v>519</v>
      </c>
      <c r="J41" s="1237" t="s">
        <v>520</v>
      </c>
      <c r="K41" s="1237" t="s">
        <v>521</v>
      </c>
      <c r="L41" s="1237" t="s">
        <v>496</v>
      </c>
      <c r="Q41" s="313"/>
      <c r="R41" s="313"/>
      <c r="S41" s="2614"/>
      <c r="T41" s="2563"/>
      <c r="U41" s="239"/>
      <c r="V41" s="2587"/>
      <c r="W41" s="2611"/>
      <c r="X41" s="1861" t="s">
        <v>522</v>
      </c>
      <c r="Y41" s="1861" t="s">
        <v>523</v>
      </c>
      <c r="Z41" s="1861" t="s">
        <v>524</v>
      </c>
      <c r="AA41" s="2568" t="s">
        <v>525</v>
      </c>
      <c r="AB41" s="2581"/>
      <c r="AC41" s="2620"/>
      <c r="AD41" s="2587"/>
      <c r="AE41" s="2611"/>
      <c r="AF41" s="1861" t="s">
        <v>522</v>
      </c>
      <c r="AG41" s="1861" t="s">
        <v>523</v>
      </c>
      <c r="AH41" s="1861" t="s">
        <v>524</v>
      </c>
      <c r="AI41" s="2568" t="s">
        <v>525</v>
      </c>
      <c r="AJ41" s="2581"/>
      <c r="AK41" s="2620"/>
      <c r="AL41" s="2623"/>
      <c r="AM41" s="2461"/>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177</v>
      </c>
      <c r="T42" s="1182" t="s">
        <v>102</v>
      </c>
      <c r="U42" s="1172" t="str">
        <f ca="1">OFFSET(U42,0,-1)</f>
        <v>2</v>
      </c>
      <c r="V42" s="1879">
        <f ca="1">OFFSET(V42,0,-1)+1</f>
        <v>3</v>
      </c>
      <c r="W42" s="1879"/>
      <c r="X42" s="1879">
        <f ca="1">OFFSET(X42,0,-1)+1</f>
        <v>1</v>
      </c>
      <c r="Y42" s="1879">
        <f ca="1">OFFSET(Y42,0,-1)+1</f>
        <v>2</v>
      </c>
      <c r="Z42" s="1879">
        <f ca="1">OFFSET(Z42,0,-1)+1</f>
        <v>3</v>
      </c>
      <c r="AA42" s="2612">
        <f ca="1">OFFSET(AA42,0,-1)+1</f>
        <v>4</v>
      </c>
      <c r="AB42" s="2612"/>
      <c r="AC42" s="1879">
        <f ca="1">OFFSET(AC42,0,-2)+1</f>
        <v>5</v>
      </c>
      <c r="AD42" s="1879">
        <f ca="1">OFFSET(AD42,0,-1)+1</f>
        <v>6</v>
      </c>
      <c r="AE42" s="1879"/>
      <c r="AF42" s="1879">
        <f ca="1">OFFSET(AF42,0,-1)+1</f>
        <v>1</v>
      </c>
      <c r="AG42" s="1879">
        <f ca="1">OFFSET(AG42,0,-1)+1</f>
        <v>2</v>
      </c>
      <c r="AH42" s="1879">
        <f ca="1">OFFSET(AH42,0,-1)+1</f>
        <v>3</v>
      </c>
      <c r="AI42" s="2612">
        <f ca="1">OFFSET(AI42,0,-1)+1</f>
        <v>4</v>
      </c>
      <c r="AJ42" s="2612"/>
      <c r="AK42" s="1879">
        <f ca="1">OFFSET(AK42,0,-2)+1</f>
        <v>5</v>
      </c>
      <c r="AL42" s="1172">
        <f ca="1">OFFSET(AL42,0,-1)</f>
        <v>5</v>
      </c>
      <c r="AM42" s="1879">
        <f ca="1">OFFSET(AM42,0,-1)+1</f>
        <v>6</v>
      </c>
      <c r="AN42" s="1563"/>
      <c r="AO42" s="1563"/>
      <c r="AP42" s="1563"/>
      <c r="AQ42" s="1563"/>
      <c r="AR42" s="1563"/>
      <c r="AS42" s="1568">
        <v>0</v>
      </c>
    </row>
    <row r="43" spans="1:45" ht="21.95" customHeight="1">
      <c r="A43" s="1194" t="s">
        <v>276</v>
      </c>
      <c r="B43" s="1194"/>
      <c r="C43" s="1194"/>
      <c r="D43" s="1194"/>
      <c r="E43" s="262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276</v>
      </c>
      <c r="B44" s="1194" t="s">
        <v>277</v>
      </c>
      <c r="C44" s="1194"/>
      <c r="D44" s="1194"/>
      <c r="E44" s="2628"/>
      <c r="F44" s="2627">
        <v>1</v>
      </c>
      <c r="G44" s="1194"/>
      <c r="H44" s="1194"/>
      <c r="I44" s="1194"/>
      <c r="J44" s="1194"/>
      <c r="K44" s="1194"/>
      <c r="L44" s="1237"/>
      <c r="M44" s="1537"/>
      <c r="N44" s="1537"/>
      <c r="O44" s="1537"/>
      <c r="P44" s="1863"/>
      <c r="Q44" s="289"/>
      <c r="R44" s="290"/>
      <c r="S44" s="1881" t="str">
        <f>INDEX(PT_DIFFERENTIATION_NUM_TER,MATCH(B44,PT_DIFFERENTIATION_TER_ID,0))</f>
        <v>.</v>
      </c>
      <c r="T44" s="1449"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1551"/>
      <c r="AP44" s="1551" t="str">
        <f t="shared" si="1"/>
        <v>Территория действия тарифа</v>
      </c>
      <c r="AQ44" s="1551"/>
      <c r="AR44" s="1551"/>
      <c r="AS44" s="1558">
        <v>21</v>
      </c>
    </row>
    <row r="45" spans="1:45" ht="24" customHeight="1">
      <c r="A45" s="1194" t="s">
        <v>276</v>
      </c>
      <c r="B45" s="1194" t="s">
        <v>277</v>
      </c>
      <c r="C45" s="1194" t="s">
        <v>278</v>
      </c>
      <c r="D45" s="1194"/>
      <c r="E45" s="2628"/>
      <c r="F45" s="2628"/>
      <c r="G45" s="2627">
        <v>1</v>
      </c>
      <c r="H45" s="1194"/>
      <c r="I45" s="1194"/>
      <c r="J45" s="1194"/>
      <c r="K45" s="1194"/>
      <c r="L45" s="1237"/>
      <c r="M45" s="1537"/>
      <c r="N45" s="1537"/>
      <c r="O45" s="1537"/>
      <c r="P45" s="291"/>
      <c r="Q45" s="289"/>
      <c r="R45" s="290"/>
      <c r="S45" s="1881"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1551"/>
      <c r="AP45" s="1551" t="str">
        <f t="shared" si="1"/>
        <v xml:space="preserve">Наименование системы теплоснабжения </v>
      </c>
      <c r="AQ45" s="1551"/>
      <c r="AR45" s="1551"/>
      <c r="AS45" s="1558">
        <v>23</v>
      </c>
    </row>
    <row r="46" spans="1:45" ht="21.95" customHeight="1">
      <c r="A46" s="1194" t="s">
        <v>276</v>
      </c>
      <c r="B46" s="1194" t="s">
        <v>277</v>
      </c>
      <c r="C46" s="1194" t="s">
        <v>278</v>
      </c>
      <c r="D46" s="1194" t="s">
        <v>279</v>
      </c>
      <c r="E46" s="2628"/>
      <c r="F46" s="2628"/>
      <c r="G46" s="2628"/>
      <c r="H46" s="2627">
        <v>1</v>
      </c>
      <c r="I46" s="1194"/>
      <c r="J46" s="1194"/>
      <c r="K46" s="1194"/>
      <c r="L46" s="1237"/>
      <c r="M46" s="1537"/>
      <c r="N46" s="1537"/>
      <c r="O46" s="1537"/>
      <c r="P46" s="291"/>
      <c r="Q46" s="289"/>
      <c r="R46" s="290"/>
      <c r="S46" s="1881"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1551"/>
      <c r="AP46" s="1551" t="str">
        <f t="shared" si="1"/>
        <v xml:space="preserve">Источник тепловой энергии  </v>
      </c>
      <c r="AQ46" s="1551"/>
      <c r="AR46" s="1551"/>
      <c r="AS46" s="1558">
        <v>21</v>
      </c>
    </row>
    <row r="47" spans="1:45" ht="49.5" customHeight="1">
      <c r="A47" s="1194" t="s">
        <v>276</v>
      </c>
      <c r="B47" s="1194" t="s">
        <v>277</v>
      </c>
      <c r="C47" s="1194" t="s">
        <v>278</v>
      </c>
      <c r="D47" s="1194" t="s">
        <v>279</v>
      </c>
      <c r="E47" s="2628"/>
      <c r="F47" s="2628"/>
      <c r="G47" s="2628"/>
      <c r="H47" s="2628"/>
      <c r="I47" s="2461" t="str">
        <f>S46&amp;".1"</f>
        <v>....1</v>
      </c>
      <c r="J47" s="1194"/>
      <c r="K47" s="1194"/>
      <c r="L47" s="1237" t="s">
        <v>483</v>
      </c>
      <c r="P47" s="2605">
        <v>1</v>
      </c>
      <c r="Q47" s="1877"/>
      <c r="R47" s="293"/>
      <c r="S47" s="1881" t="str">
        <f>$I47</f>
        <v>....1</v>
      </c>
      <c r="T47" s="222" t="s">
        <v>484</v>
      </c>
      <c r="U47" s="237"/>
      <c r="V47" s="2589"/>
      <c r="W47" s="2590"/>
      <c r="X47" s="2590"/>
      <c r="Y47" s="2590"/>
      <c r="Z47" s="2590"/>
      <c r="AA47" s="2590"/>
      <c r="AB47" s="2590"/>
      <c r="AC47" s="2591"/>
      <c r="AD47" s="2589"/>
      <c r="AE47" s="2590"/>
      <c r="AF47" s="2590"/>
      <c r="AG47" s="2590"/>
      <c r="AH47" s="2590"/>
      <c r="AI47" s="2590"/>
      <c r="AJ47" s="2590"/>
      <c r="AK47" s="2590"/>
      <c r="AL47" s="2591"/>
      <c r="AM47" s="1185" t="s">
        <v>485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276</v>
      </c>
      <c r="B48" s="1194" t="s">
        <v>277</v>
      </c>
      <c r="C48" s="1194" t="s">
        <v>278</v>
      </c>
      <c r="D48" s="1194" t="s">
        <v>279</v>
      </c>
      <c r="E48" s="2628"/>
      <c r="F48" s="2628"/>
      <c r="G48" s="2628"/>
      <c r="H48" s="2628"/>
      <c r="I48" s="2442"/>
      <c r="J48" s="2461" t="str">
        <f>I47&amp;".1"</f>
        <v>....1.1</v>
      </c>
      <c r="K48" s="1194"/>
      <c r="L48" s="1237" t="s">
        <v>486</v>
      </c>
      <c r="P48" s="2605"/>
      <c r="Q48" s="2605">
        <v>1</v>
      </c>
      <c r="R48" s="294"/>
      <c r="S48" s="1881" t="str">
        <f>$J48</f>
        <v>....1.1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1551"/>
      <c r="AP48" s="1551" t="str">
        <f t="shared" si="1"/>
        <v>Группа потребителей</v>
      </c>
      <c r="AQ48" s="1551"/>
      <c r="AR48" s="1551"/>
      <c r="AS48" s="1558">
        <v>21</v>
      </c>
    </row>
    <row r="49" spans="1:45" ht="21.95" customHeight="1">
      <c r="A49" s="1194" t="s">
        <v>276</v>
      </c>
      <c r="B49" s="1194" t="s">
        <v>277</v>
      </c>
      <c r="C49" s="1194" t="s">
        <v>278</v>
      </c>
      <c r="D49" s="1194" t="s">
        <v>279</v>
      </c>
      <c r="E49" s="2628"/>
      <c r="F49" s="2628"/>
      <c r="G49" s="2628"/>
      <c r="H49" s="2628"/>
      <c r="I49" s="2442"/>
      <c r="J49" s="2442"/>
      <c r="K49" s="2461" t="str">
        <f>J48&amp;".1"</f>
        <v>....1.1.1</v>
      </c>
      <c r="L49" s="1237" t="s">
        <v>489</v>
      </c>
      <c r="P49" s="2605"/>
      <c r="Q49" s="2605"/>
      <c r="R49" s="294">
        <v>1</v>
      </c>
      <c r="S49" s="1881" t="str">
        <f>$K49</f>
        <v>....1.1.1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490</v>
      </c>
      <c r="AN49" s="1563" t="e">
        <f ca="1">STRCHECKDATE(V50:AL50)</f>
        <v>#NAME?</v>
      </c>
      <c r="AO49" s="1551"/>
      <c r="AP49" s="1551" t="str">
        <f t="shared" si="1"/>
        <v/>
      </c>
      <c r="AQ49" s="1551"/>
      <c r="AR49" s="1551"/>
      <c r="AS49" s="1558">
        <v>21</v>
      </c>
    </row>
    <row r="50" spans="1:45" ht="1.1499999999999999" customHeight="1">
      <c r="A50" s="1194" t="s">
        <v>276</v>
      </c>
      <c r="B50" s="1194" t="s">
        <v>277</v>
      </c>
      <c r="C50" s="1194" t="s">
        <v>278</v>
      </c>
      <c r="D50" s="1194" t="s">
        <v>279</v>
      </c>
      <c r="E50" s="2628"/>
      <c r="F50" s="2628"/>
      <c r="G50" s="2628"/>
      <c r="H50" s="2628"/>
      <c r="I50" s="2442"/>
      <c r="J50" s="2442"/>
      <c r="K50" s="2461"/>
      <c r="L50" s="1237"/>
      <c r="P50" s="2605"/>
      <c r="Q50" s="2605"/>
      <c r="R50" s="294"/>
      <c r="S50" s="1890"/>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1551"/>
      <c r="AP50" s="1551" t="str">
        <f t="shared" si="1"/>
        <v/>
      </c>
      <c r="AQ50" s="1551"/>
      <c r="AR50" s="1551"/>
      <c r="AS50" s="1558">
        <v>1</v>
      </c>
    </row>
    <row r="51" spans="1:45" ht="11.45" customHeight="1">
      <c r="A51" s="1194" t="s">
        <v>276</v>
      </c>
      <c r="B51" s="1194" t="s">
        <v>277</v>
      </c>
      <c r="C51" s="1194" t="s">
        <v>278</v>
      </c>
      <c r="D51" s="1194" t="s">
        <v>279</v>
      </c>
      <c r="E51" s="2628"/>
      <c r="F51" s="2628"/>
      <c r="G51" s="2628"/>
      <c r="H51" s="2628"/>
      <c r="I51" s="2442"/>
      <c r="J51" s="2461"/>
      <c r="K51" s="1194"/>
      <c r="L51" s="1237"/>
      <c r="P51" s="2605"/>
      <c r="Q51" s="2605"/>
      <c r="R51" s="293"/>
      <c r="S51" s="1205"/>
      <c r="T51" s="225" t="s">
        <v>491</v>
      </c>
      <c r="U51" s="537"/>
      <c r="V51" s="537"/>
      <c r="W51" s="537"/>
      <c r="X51" s="537"/>
      <c r="Y51" s="537"/>
      <c r="Z51" s="537"/>
      <c r="AA51" s="537"/>
      <c r="AB51" s="537"/>
      <c r="AC51" s="537"/>
      <c r="AD51" s="537"/>
      <c r="AE51" s="537"/>
      <c r="AF51" s="537"/>
      <c r="AG51" s="537"/>
      <c r="AH51" s="537"/>
      <c r="AI51" s="537"/>
      <c r="AJ51" s="537"/>
      <c r="AK51" s="537"/>
      <c r="AL51" s="261"/>
      <c r="AM51" s="2626"/>
      <c r="AO51" s="1551"/>
      <c r="AP51" s="1551" t="str">
        <f t="shared" si="1"/>
        <v>Добавить вид теплоносителя (параметры теплоносителя)</v>
      </c>
      <c r="AQ51" s="1551"/>
      <c r="AR51" s="1551"/>
      <c r="AS51" s="1558">
        <v>11</v>
      </c>
    </row>
    <row r="52" spans="1:45" ht="11.45" customHeight="1">
      <c r="A52" s="1194" t="s">
        <v>276</v>
      </c>
      <c r="B52" s="1194" t="s">
        <v>277</v>
      </c>
      <c r="C52" s="1194" t="s">
        <v>278</v>
      </c>
      <c r="D52" s="1194" t="s">
        <v>279</v>
      </c>
      <c r="E52" s="2628"/>
      <c r="F52" s="2628"/>
      <c r="G52" s="2628"/>
      <c r="H52" s="2628"/>
      <c r="I52" s="2461"/>
      <c r="J52" s="1194"/>
      <c r="K52" s="1194"/>
      <c r="L52" s="1237"/>
      <c r="P52" s="2605"/>
      <c r="Q52" s="1877"/>
      <c r="R52" s="293"/>
      <c r="S52" s="1205"/>
      <c r="T52" s="224" t="s">
        <v>492</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276</v>
      </c>
      <c r="B53" s="1194" t="s">
        <v>277</v>
      </c>
      <c r="C53" s="1194" t="s">
        <v>278</v>
      </c>
      <c r="D53" s="1194" t="s">
        <v>279</v>
      </c>
      <c r="E53" s="2628"/>
      <c r="F53" s="2628"/>
      <c r="G53" s="2628"/>
      <c r="H53" s="2627"/>
      <c r="I53" s="1194"/>
      <c r="J53" s="1194"/>
      <c r="K53" s="1194"/>
      <c r="L53" s="1237"/>
      <c r="M53" s="1537"/>
      <c r="N53" s="1537"/>
      <c r="O53" s="1562"/>
      <c r="P53" s="297"/>
      <c r="Q53" s="312"/>
      <c r="R53" s="292"/>
      <c r="S53" s="1205"/>
      <c r="T53" s="302" t="s">
        <v>493</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276</v>
      </c>
      <c r="B54" s="1194" t="s">
        <v>277</v>
      </c>
      <c r="C54" s="1194" t="s">
        <v>278</v>
      </c>
      <c r="D54" s="1897"/>
      <c r="E54" s="2628"/>
      <c r="F54" s="2628"/>
      <c r="G54" s="2627"/>
      <c r="H54" s="1897"/>
      <c r="I54" s="1897"/>
      <c r="J54" s="1897"/>
      <c r="K54" s="1897"/>
      <c r="L54" s="1307"/>
      <c r="M54" s="1537"/>
      <c r="N54" s="1537"/>
      <c r="O54" s="156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276</v>
      </c>
      <c r="B55" s="1194" t="s">
        <v>277</v>
      </c>
      <c r="C55" s="1897"/>
      <c r="D55" s="1897"/>
      <c r="E55" s="2628"/>
      <c r="F55" s="2627"/>
      <c r="G55" s="1897"/>
      <c r="H55" s="1897"/>
      <c r="I55" s="1897"/>
      <c r="J55" s="1897"/>
      <c r="K55" s="1897"/>
      <c r="L55" s="1307"/>
      <c r="M55" s="1898"/>
      <c r="N55" s="1898"/>
      <c r="O55" s="1562"/>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276</v>
      </c>
      <c r="B56" s="1194"/>
      <c r="C56" s="1194"/>
      <c r="D56" s="1194"/>
      <c r="E56" s="2627"/>
      <c r="F56" s="1194"/>
      <c r="G56" s="1194"/>
      <c r="H56" s="1194"/>
      <c r="I56" s="1194"/>
      <c r="J56" s="1194"/>
      <c r="K56" s="1194"/>
      <c r="L56" s="1237"/>
      <c r="M56" s="1898"/>
      <c r="N56" s="1898"/>
      <c r="O56" s="1562"/>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558">
        <v>27</v>
      </c>
    </row>
    <row r="60" spans="1:45" ht="65.25" customHeight="1">
      <c r="O60" s="1562"/>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558">
        <v>62</v>
      </c>
    </row>
    <row r="61" spans="1:45" ht="14.65" customHeight="1">
      <c r="O61" s="1562"/>
      <c r="AS61" s="1558">
        <v>14</v>
      </c>
    </row>
    <row r="62" spans="1:45" ht="18.75" customHeight="1">
      <c r="O62" s="1562"/>
      <c r="S62" s="1180"/>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558">
        <v>18</v>
      </c>
    </row>
    <row r="63" spans="1:45" ht="18.75" customHeight="1">
      <c r="O63" s="1562"/>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558">
        <v>18</v>
      </c>
    </row>
    <row r="64" spans="1:45" ht="29.25" customHeight="1">
      <c r="O64" s="1562"/>
      <c r="S64" s="1180"/>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01">
        <v>1</v>
      </c>
      <c r="F2" s="1290"/>
      <c r="G2" s="1290"/>
      <c r="H2" s="1290"/>
      <c r="I2" s="1290"/>
      <c r="J2" s="1290"/>
      <c r="K2" s="1290"/>
      <c r="L2" s="1291"/>
      <c r="M2" s="1292"/>
      <c r="N2" s="1292"/>
      <c r="O2" s="1292"/>
      <c r="P2" s="298"/>
      <c r="Q2" s="297"/>
      <c r="R2" s="292"/>
      <c r="S2" s="1263" t="e">
        <f>INDEX(PT_DIFFERENTIATION_NUM_NTAR,MATCH(A2,PT_DIFFERENTIATION_NTAR_ID,0))</f>
        <v>#N/A</v>
      </c>
      <c r="T2" s="235"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437"/>
      <c r="AP2" s="437" t="str">
        <f t="shared" ref="AP2:AP15" si="0">IF(T2="","",T2)</f>
        <v>Наименование тарифа</v>
      </c>
      <c r="AQ2" s="437"/>
      <c r="AR2" s="437"/>
      <c r="AS2" s="1082">
        <v>0</v>
      </c>
    </row>
    <row r="3" spans="1:45" ht="21" hidden="1" customHeight="1">
      <c r="A3" s="1290"/>
      <c r="B3" s="1290"/>
      <c r="C3" s="1290"/>
      <c r="D3" s="1290"/>
      <c r="E3" s="2602"/>
      <c r="F3" s="2601">
        <v>1</v>
      </c>
      <c r="G3" s="1290"/>
      <c r="H3" s="1290"/>
      <c r="I3" s="1290"/>
      <c r="J3" s="1290"/>
      <c r="K3" s="1290"/>
      <c r="L3" s="1291"/>
      <c r="M3" s="1292"/>
      <c r="N3" s="1292"/>
      <c r="O3" s="1292"/>
      <c r="P3" s="1259"/>
      <c r="Q3" s="289"/>
      <c r="R3" s="290"/>
      <c r="S3" s="1263" t="e">
        <f>INDEX(PT_DIFFERENTIATION_NUM_TER,MATCH(B3,PT_DIFFERENTIATION_TER_ID,0))</f>
        <v>#N/A</v>
      </c>
      <c r="T3" s="245"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437"/>
      <c r="AP3" s="437" t="str">
        <f t="shared" si="0"/>
        <v>Территория действия тарифа</v>
      </c>
      <c r="AQ3" s="437"/>
      <c r="AR3" s="437"/>
      <c r="AS3" s="1082">
        <v>0</v>
      </c>
    </row>
    <row r="4" spans="1:45" ht="23.25" hidden="1" customHeight="1">
      <c r="A4" s="1290"/>
      <c r="B4" s="1290"/>
      <c r="C4" s="1290"/>
      <c r="D4" s="1290"/>
      <c r="E4" s="2602"/>
      <c r="F4" s="2602"/>
      <c r="G4" s="2601">
        <v>1</v>
      </c>
      <c r="H4" s="1290"/>
      <c r="I4" s="1290"/>
      <c r="J4" s="1290"/>
      <c r="K4" s="1290"/>
      <c r="L4" s="1291"/>
      <c r="M4" s="1292"/>
      <c r="N4" s="1292"/>
      <c r="O4" s="1292"/>
      <c r="P4" s="291"/>
      <c r="Q4" s="289"/>
      <c r="R4" s="290"/>
      <c r="S4" s="1263"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02"/>
      <c r="F5" s="2602"/>
      <c r="G5" s="2602"/>
      <c r="H5" s="2601">
        <v>1</v>
      </c>
      <c r="I5" s="1290"/>
      <c r="J5" s="1290"/>
      <c r="K5" s="1290"/>
      <c r="L5" s="1291"/>
      <c r="M5" s="1292"/>
      <c r="N5" s="1292"/>
      <c r="O5" s="1292"/>
      <c r="P5" s="291"/>
      <c r="Q5" s="289"/>
      <c r="R5" s="290"/>
      <c r="S5" s="1263"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437"/>
      <c r="AP5" s="437" t="str">
        <f t="shared" si="0"/>
        <v xml:space="preserve">Источник тепловой энергии  </v>
      </c>
      <c r="AQ5" s="437"/>
      <c r="AR5" s="437"/>
      <c r="AS5" s="1082">
        <v>0</v>
      </c>
    </row>
    <row r="6" spans="1:45" ht="47.25" hidden="1" customHeight="1">
      <c r="A6" s="1290"/>
      <c r="B6" s="1290"/>
      <c r="C6" s="1290"/>
      <c r="D6" s="1290"/>
      <c r="E6" s="2602"/>
      <c r="F6" s="2602"/>
      <c r="G6" s="2602"/>
      <c r="H6" s="2602"/>
      <c r="I6" s="2603" t="e">
        <f>S5&amp;".1"</f>
        <v>#N/A</v>
      </c>
      <c r="J6" s="1290"/>
      <c r="K6" s="1290"/>
      <c r="L6" s="1291" t="s">
        <v>483</v>
      </c>
      <c r="M6" s="474"/>
      <c r="P6" s="2605">
        <v>1</v>
      </c>
      <c r="Q6" s="1258"/>
      <c r="R6" s="293"/>
      <c r="S6" s="1263" t="e">
        <f>$I6</f>
        <v>#N/A</v>
      </c>
      <c r="T6" s="222" t="s">
        <v>484</v>
      </c>
      <c r="U6" s="237"/>
      <c r="V6" s="2589"/>
      <c r="W6" s="2590"/>
      <c r="X6" s="2590"/>
      <c r="Y6" s="2590"/>
      <c r="Z6" s="2590"/>
      <c r="AA6" s="2590"/>
      <c r="AB6" s="2590"/>
      <c r="AC6" s="2591"/>
      <c r="AD6" s="2589"/>
      <c r="AE6" s="2590"/>
      <c r="AF6" s="2590"/>
      <c r="AG6" s="2590"/>
      <c r="AH6" s="2590"/>
      <c r="AI6" s="2590"/>
      <c r="AJ6" s="2590"/>
      <c r="AK6" s="2590"/>
      <c r="AL6" s="2591"/>
      <c r="AM6" s="1185" t="s">
        <v>485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602"/>
      <c r="F7" s="2602"/>
      <c r="G7" s="2602"/>
      <c r="H7" s="2602"/>
      <c r="I7" s="2604"/>
      <c r="J7" s="2603" t="e">
        <f>I6&amp;".1"</f>
        <v>#N/A</v>
      </c>
      <c r="K7" s="1290"/>
      <c r="L7" s="1291" t="s">
        <v>486</v>
      </c>
      <c r="M7" s="474"/>
      <c r="N7" s="1293"/>
      <c r="P7" s="2605"/>
      <c r="Q7" s="2605">
        <v>1</v>
      </c>
      <c r="R7" s="294"/>
      <c r="S7" s="1263"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437"/>
      <c r="AP7" s="437" t="str">
        <f t="shared" si="0"/>
        <v>Группа потребителей</v>
      </c>
      <c r="AQ7" s="437"/>
      <c r="AR7" s="437"/>
      <c r="AS7" s="1082">
        <v>0</v>
      </c>
    </row>
    <row r="8" spans="1:45" ht="21" hidden="1" customHeight="1">
      <c r="A8" s="1290"/>
      <c r="B8" s="1290"/>
      <c r="C8" s="1290"/>
      <c r="D8" s="1290"/>
      <c r="E8" s="2602"/>
      <c r="F8" s="2602"/>
      <c r="G8" s="2602"/>
      <c r="H8" s="2602"/>
      <c r="I8" s="2604"/>
      <c r="J8" s="2604"/>
      <c r="K8" s="2603" t="e">
        <f>J7&amp;".1"</f>
        <v>#N/A</v>
      </c>
      <c r="L8" s="1291" t="s">
        <v>489</v>
      </c>
      <c r="M8" s="474"/>
      <c r="N8" s="1293"/>
      <c r="O8" s="1293"/>
      <c r="P8" s="2605"/>
      <c r="Q8" s="2605"/>
      <c r="R8" s="294">
        <v>1</v>
      </c>
      <c r="S8" s="1263" t="e">
        <f>$K8</f>
        <v>#N/A</v>
      </c>
      <c r="T8" s="1274"/>
      <c r="U8" s="237"/>
      <c r="V8" s="262"/>
      <c r="W8" s="688"/>
      <c r="X8" s="262"/>
      <c r="Y8" s="321"/>
      <c r="Z8" s="2606"/>
      <c r="AA8" s="2471" t="s">
        <v>66</v>
      </c>
      <c r="AB8" s="2606"/>
      <c r="AC8" s="2471" t="s">
        <v>66</v>
      </c>
      <c r="AD8" s="262"/>
      <c r="AE8" s="688"/>
      <c r="AF8" s="262"/>
      <c r="AG8" s="321"/>
      <c r="AH8" s="2606"/>
      <c r="AI8" s="2471" t="s">
        <v>66</v>
      </c>
      <c r="AJ8" s="2606"/>
      <c r="AK8" s="2471" t="s">
        <v>66</v>
      </c>
      <c r="AL8" s="262"/>
      <c r="AM8" s="2624" t="s">
        <v>490</v>
      </c>
      <c r="AN8" s="448" t="e">
        <f ca="1">STRCHECKDATE(V9:AL9)</f>
        <v>#NAME?</v>
      </c>
      <c r="AO8" s="437"/>
      <c r="AP8" s="437" t="str">
        <f t="shared" si="0"/>
        <v/>
      </c>
      <c r="AQ8" s="437"/>
      <c r="AR8" s="437"/>
      <c r="AS8" s="1082">
        <v>0</v>
      </c>
    </row>
    <row r="9" spans="1:45" ht="0.75" hidden="1" customHeight="1">
      <c r="A9" s="1290"/>
      <c r="B9" s="1290"/>
      <c r="C9" s="1290"/>
      <c r="D9" s="1290"/>
      <c r="E9" s="2602"/>
      <c r="F9" s="2602"/>
      <c r="G9" s="2602"/>
      <c r="H9" s="2602"/>
      <c r="I9" s="2604"/>
      <c r="J9" s="2604"/>
      <c r="K9" s="2603"/>
      <c r="L9" s="1291"/>
      <c r="M9" s="474"/>
      <c r="N9" s="1293"/>
      <c r="O9" s="1293"/>
      <c r="P9" s="2605"/>
      <c r="Q9" s="2605"/>
      <c r="R9" s="294"/>
      <c r="S9" s="1269"/>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437"/>
      <c r="AP9" s="437" t="str">
        <f t="shared" si="0"/>
        <v/>
      </c>
      <c r="AQ9" s="437"/>
      <c r="AR9" s="437"/>
      <c r="AS9" s="1082">
        <v>0</v>
      </c>
    </row>
    <row r="10" spans="1:45" ht="15" hidden="1" customHeight="1">
      <c r="A10" s="1290"/>
      <c r="B10" s="1290"/>
      <c r="C10" s="1290"/>
      <c r="D10" s="1290"/>
      <c r="E10" s="2602"/>
      <c r="F10" s="2602"/>
      <c r="G10" s="2602"/>
      <c r="H10" s="2602"/>
      <c r="I10" s="2604"/>
      <c r="J10" s="2603"/>
      <c r="K10" s="1290"/>
      <c r="L10" s="1291"/>
      <c r="M10" s="474"/>
      <c r="N10" s="1293"/>
      <c r="P10" s="2605"/>
      <c r="Q10" s="2605"/>
      <c r="R10" s="293"/>
      <c r="S10" s="1205"/>
      <c r="T10" s="225" t="s">
        <v>491</v>
      </c>
      <c r="U10" s="304"/>
      <c r="V10" s="304"/>
      <c r="W10" s="304"/>
      <c r="X10" s="304"/>
      <c r="Y10" s="304"/>
      <c r="Z10" s="304"/>
      <c r="AA10" s="304"/>
      <c r="AB10" s="304"/>
      <c r="AC10" s="304"/>
      <c r="AD10" s="304"/>
      <c r="AE10" s="304"/>
      <c r="AF10" s="304"/>
      <c r="AG10" s="304"/>
      <c r="AH10" s="304"/>
      <c r="AI10" s="304"/>
      <c r="AJ10" s="304"/>
      <c r="AK10" s="304"/>
      <c r="AL10" s="261"/>
      <c r="AM10" s="262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02"/>
      <c r="F11" s="2602"/>
      <c r="G11" s="2602"/>
      <c r="H11" s="2602"/>
      <c r="I11" s="2603"/>
      <c r="J11" s="1290"/>
      <c r="K11" s="1290"/>
      <c r="L11" s="1291"/>
      <c r="M11" s="474"/>
      <c r="P11" s="2605"/>
      <c r="Q11" s="1258"/>
      <c r="R11" s="293"/>
      <c r="S11" s="1205"/>
      <c r="T11" s="224" t="s">
        <v>492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02"/>
      <c r="F12" s="2602"/>
      <c r="G12" s="2602"/>
      <c r="H12" s="2601"/>
      <c r="I12" s="1290"/>
      <c r="J12" s="1290"/>
      <c r="K12" s="1290"/>
      <c r="L12" s="1291"/>
      <c r="M12" s="1292"/>
      <c r="N12" s="1292"/>
      <c r="O12" s="474"/>
      <c r="P12" s="297"/>
      <c r="Q12" s="312"/>
      <c r="R12" s="292"/>
      <c r="S12" s="1205"/>
      <c r="T12" s="302" t="s">
        <v>493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602"/>
      <c r="F13" s="2602"/>
      <c r="G13" s="2601"/>
      <c r="H13" s="1241"/>
      <c r="I13" s="1241"/>
      <c r="J13" s="1241"/>
      <c r="K13" s="1241"/>
      <c r="L13" s="1266"/>
      <c r="M13" s="1242"/>
      <c r="N13" s="124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02"/>
      <c r="F14" s="2601"/>
      <c r="G14" s="1241"/>
      <c r="H14" s="1241"/>
      <c r="I14" s="1241"/>
      <c r="J14" s="1241"/>
      <c r="K14" s="1241"/>
      <c r="L14" s="1266"/>
      <c r="M14" s="1248"/>
      <c r="N14" s="124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01"/>
      <c r="F15" s="1241"/>
      <c r="G15" s="1241"/>
      <c r="H15" s="1241"/>
      <c r="I15" s="1241"/>
      <c r="J15" s="1241"/>
      <c r="K15" s="1241"/>
      <c r="L15" s="1266"/>
      <c r="M15" s="1248"/>
      <c r="N15" s="124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99"/>
      <c r="AI17" s="2598" t="s">
        <v>66</v>
      </c>
      <c r="AJ17" s="2599"/>
      <c r="AK17" s="2598" t="s">
        <v>66</v>
      </c>
      <c r="AS17" s="1082">
        <v>0</v>
      </c>
    </row>
    <row r="18" spans="1:45" ht="14.25" hidden="1" customHeight="1">
      <c r="AD18" s="1287"/>
      <c r="AE18" s="1287"/>
      <c r="AF18" s="1287"/>
      <c r="AG18" s="265" t="str">
        <f>AH17&amp;"-"&amp;AJ17</f>
        <v>-</v>
      </c>
      <c r="AH18" s="2598"/>
      <c r="AI18" s="2598"/>
      <c r="AJ18" s="2598"/>
      <c r="AK18" s="2598"/>
      <c r="AS18" s="1082">
        <v>0</v>
      </c>
    </row>
    <row r="19" spans="1:45" ht="14.25" hidden="1" customHeight="1">
      <c r="AK19" s="264"/>
      <c r="AS19" s="1082">
        <v>0</v>
      </c>
    </row>
    <row r="20" spans="1:45" s="1293" customFormat="1" ht="22.5" hidden="1" customHeight="1">
      <c r="L20" s="1256"/>
      <c r="M20" s="1289"/>
      <c r="N20" s="1289"/>
      <c r="O20" s="1294" t="s">
        <v>495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496</v>
      </c>
      <c r="P22" s="1289"/>
      <c r="Q22" s="1298"/>
      <c r="R22" s="1298"/>
      <c r="S22" s="666"/>
      <c r="T22" s="1087" t="s">
        <v>497</v>
      </c>
      <c r="AA22" s="123" t="s">
        <v>498</v>
      </c>
      <c r="AC22" s="123" t="s">
        <v>499</v>
      </c>
      <c r="AD22" s="1087" t="s">
        <v>497</v>
      </c>
      <c r="AI22" s="123" t="s">
        <v>500</v>
      </c>
      <c r="AK22" s="123" t="s">
        <v>499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58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82"/>
      <c r="U26" s="2582"/>
      <c r="V26" s="2582"/>
      <c r="W26" s="2582"/>
      <c r="X26" s="2582"/>
      <c r="Y26" s="2582"/>
      <c r="Z26" s="2582"/>
      <c r="AA26" s="2582"/>
      <c r="AB26" s="2582"/>
      <c r="AC26" s="2582"/>
      <c r="AD26" s="2582"/>
      <c r="AE26" s="2582"/>
      <c r="AF26" s="2582"/>
      <c r="AG26" s="2582"/>
      <c r="AH26" s="2582"/>
      <c r="AI26" s="2582"/>
      <c r="AJ26" s="2582"/>
      <c r="AK26" s="1170"/>
      <c r="AS26" s="1082">
        <v>28</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263"/>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92" t="s">
        <v>501</v>
      </c>
      <c r="T30" s="2592"/>
      <c r="U30" s="1299"/>
      <c r="V30" s="2593">
        <f>IF(TITLE_DATE_PR_CHANGE="",IF(TITLE_DATE_PR="","",TITLE_DATE_PR),TITLE_DATE_PR_CHANGE)</f>
        <v>45596.468541666669</v>
      </c>
      <c r="W30" s="2593"/>
      <c r="X30" s="2593"/>
      <c r="Y30" s="2593"/>
      <c r="Z30" s="2593"/>
      <c r="AA30" s="2593"/>
      <c r="AB30" s="2593"/>
      <c r="AC30" s="263"/>
      <c r="AD30" s="2593">
        <f>IF(TITLE_DATE_PR_CHANGE="",IF(TITLE_DATE_PR="","",TITLE_DATE_PR),TITLE_DATE_PR_CHANGE)</f>
        <v>45596.468541666669</v>
      </c>
      <c r="AE30" s="2593"/>
      <c r="AF30" s="2593"/>
      <c r="AG30" s="2593"/>
      <c r="AH30" s="2593"/>
      <c r="AI30" s="2593"/>
      <c r="AJ30" s="2593"/>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92" t="s">
        <v>502</v>
      </c>
      <c r="T31" s="2592"/>
      <c r="U31" s="1299"/>
      <c r="V31" s="2594" t="str">
        <f>IF(TITLE_NUMBER_PR_CHANGE="",IF(TITLE_NUMBER_PR="","",TITLE_NUMBER_PR),TITLE_NUMBER_PR_CHANGE)</f>
        <v>440,503</v>
      </c>
      <c r="W31" s="2594"/>
      <c r="X31" s="2594"/>
      <c r="Y31" s="2594"/>
      <c r="Z31" s="2594"/>
      <c r="AA31" s="2594"/>
      <c r="AB31" s="2594"/>
      <c r="AC31" s="263"/>
      <c r="AD31" s="2594" t="str">
        <f>IF(TITLE_NUMBER_PR_CHANGE="",IF(TITLE_NUMBER_PR="","",TITLE_NUMBER_PR),TITLE_NUMBER_PR_CHANGE)</f>
        <v>440,503</v>
      </c>
      <c r="AE31" s="2594"/>
      <c r="AF31" s="2594"/>
      <c r="AG31" s="2594"/>
      <c r="AH31" s="2594"/>
      <c r="AI31" s="2594"/>
      <c r="AJ31" s="2594"/>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263"/>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92" t="s">
        <v>503</v>
      </c>
      <c r="T34" s="2592"/>
      <c r="U34" s="1299"/>
      <c r="V34" s="2593">
        <f>IF(TITLE_DATE_PR_CHANGE="",IF(TITLE_DATE_PR="","",TITLE_DATE_PR),TITLE_DATE_PR_CHANGE)</f>
        <v>45596.468541666669</v>
      </c>
      <c r="W34" s="2593"/>
      <c r="X34" s="2593"/>
      <c r="Y34" s="2593"/>
      <c r="Z34" s="2593"/>
      <c r="AA34" s="2593"/>
      <c r="AB34" s="2593"/>
      <c r="AC34" s="263"/>
      <c r="AD34" s="2593">
        <f>IF(TITLE_DATE_PR_CHANGE="",IF(TITLE_DATE_PR="","",TITLE_DATE_PR),TITLE_DATE_PR_CHANGE)</f>
        <v>45596.468541666669</v>
      </c>
      <c r="AE34" s="2593"/>
      <c r="AF34" s="2593"/>
      <c r="AG34" s="2593"/>
      <c r="AH34" s="2593"/>
      <c r="AI34" s="2593"/>
      <c r="AJ34" s="259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92" t="s">
        <v>504</v>
      </c>
      <c r="T35" s="2592"/>
      <c r="U35" s="1299"/>
      <c r="V35" s="2594" t="str">
        <f>IF(TITLE_NUMBER_PR_CHANGE="",IF(TITLE_NUMBER_PR="","",TITLE_NUMBER_PR),TITLE_NUMBER_PR_CHANGE)</f>
        <v>440,503</v>
      </c>
      <c r="W35" s="2594"/>
      <c r="X35" s="2594"/>
      <c r="Y35" s="2594"/>
      <c r="Z35" s="2594"/>
      <c r="AA35" s="2594"/>
      <c r="AB35" s="2594"/>
      <c r="AC35" s="263"/>
      <c r="AD35" s="2594" t="str">
        <f>IF(TITLE_NUMBER_PR_CHANGE="",IF(TITLE_NUMBER_PR="","",TITLE_NUMBER_PR),TITLE_NUMBER_PR_CHANGE)</f>
        <v>440,503</v>
      </c>
      <c r="AE35" s="2594"/>
      <c r="AF35" s="2594"/>
      <c r="AG35" s="2594"/>
      <c r="AH35" s="2594"/>
      <c r="AI35" s="2594"/>
      <c r="AJ35" s="259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505</v>
      </c>
      <c r="AD36" s="263"/>
      <c r="AE36" s="263"/>
      <c r="AF36" s="263"/>
      <c r="AG36" s="263"/>
      <c r="AH36" s="263"/>
      <c r="AI36" s="263"/>
      <c r="AJ36" s="263"/>
      <c r="AK36" s="215" t="s">
        <v>505</v>
      </c>
      <c r="AN36" s="305"/>
      <c r="AO36" s="305"/>
      <c r="AP36" s="305"/>
      <c r="AQ36" s="305"/>
      <c r="AR36" s="305"/>
      <c r="AS36" s="355">
        <v>0</v>
      </c>
    </row>
    <row r="37" spans="1:45" ht="14.65" customHeight="1">
      <c r="Q37" s="313"/>
      <c r="R37" s="313"/>
      <c r="S37" s="1202"/>
      <c r="T37" s="300"/>
      <c r="U37" s="1171"/>
      <c r="V37" s="2613"/>
      <c r="W37" s="2613"/>
      <c r="X37" s="2613"/>
      <c r="Y37" s="2613"/>
      <c r="Z37" s="2613"/>
      <c r="AA37" s="2613"/>
      <c r="AB37" s="2613"/>
      <c r="AC37" s="2613"/>
      <c r="AD37" s="2613"/>
      <c r="AE37" s="2613"/>
      <c r="AF37" s="2613"/>
      <c r="AG37" s="2613"/>
      <c r="AH37" s="2613"/>
      <c r="AI37" s="2613"/>
      <c r="AJ37" s="2613"/>
      <c r="AK37" s="2613"/>
      <c r="AS37" s="1082">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082">
        <v>14</v>
      </c>
    </row>
    <row r="39" spans="1:45" ht="14.65" customHeight="1">
      <c r="Q39" s="313"/>
      <c r="R39" s="313"/>
      <c r="S39" s="2614" t="s">
        <v>88</v>
      </c>
      <c r="T39" s="2563" t="s">
        <v>506</v>
      </c>
      <c r="U39" s="238"/>
      <c r="V39" s="2615" t="s">
        <v>507</v>
      </c>
      <c r="W39" s="2616"/>
      <c r="X39" s="2631"/>
      <c r="Y39" s="2631"/>
      <c r="Z39" s="2616"/>
      <c r="AA39" s="2616"/>
      <c r="AB39" s="2617"/>
      <c r="AC39" s="2618" t="s">
        <v>508</v>
      </c>
      <c r="AD39" s="2615" t="s">
        <v>507</v>
      </c>
      <c r="AE39" s="2616"/>
      <c r="AF39" s="2631"/>
      <c r="AG39" s="2631"/>
      <c r="AH39" s="2616"/>
      <c r="AI39" s="2616"/>
      <c r="AJ39" s="2617"/>
      <c r="AK39" s="2618" t="s">
        <v>509</v>
      </c>
      <c r="AL39" s="2621" t="s">
        <v>510</v>
      </c>
      <c r="AM39" s="2461"/>
      <c r="AS39" s="1082">
        <v>14</v>
      </c>
    </row>
    <row r="40" spans="1:45" ht="24" customHeight="1">
      <c r="Q40" s="313"/>
      <c r="R40" s="313"/>
      <c r="S40" s="2614"/>
      <c r="T40" s="2563"/>
      <c r="U40" s="961"/>
      <c r="V40" s="2629" t="s">
        <v>511</v>
      </c>
      <c r="W40" s="2536" t="s">
        <v>512</v>
      </c>
      <c r="X40" s="1303" t="s">
        <v>513</v>
      </c>
      <c r="Y40" s="1303"/>
      <c r="Z40" s="2448" t="s">
        <v>514</v>
      </c>
      <c r="AA40" s="2448"/>
      <c r="AB40" s="2441"/>
      <c r="AC40" s="2619"/>
      <c r="AD40" s="2629" t="s">
        <v>511</v>
      </c>
      <c r="AE40" s="2536" t="s">
        <v>512</v>
      </c>
      <c r="AF40" s="1303" t="s">
        <v>513</v>
      </c>
      <c r="AG40" s="1303"/>
      <c r="AH40" s="2448" t="s">
        <v>514</v>
      </c>
      <c r="AI40" s="2448"/>
      <c r="AJ40" s="2441"/>
      <c r="AK40" s="2619"/>
      <c r="AL40" s="2622"/>
      <c r="AM40" s="2461"/>
      <c r="AS40" s="1082">
        <v>23</v>
      </c>
    </row>
    <row r="41" spans="1:45" s="1193" customFormat="1" ht="24" customHeight="1">
      <c r="A41" s="1297"/>
      <c r="B41" s="1297" t="s">
        <v>201</v>
      </c>
      <c r="C41" s="1297" t="s">
        <v>202</v>
      </c>
      <c r="D41" s="1297" t="s">
        <v>203</v>
      </c>
      <c r="E41" s="1291" t="s">
        <v>515</v>
      </c>
      <c r="F41" s="1291" t="s">
        <v>516</v>
      </c>
      <c r="G41" s="1291" t="s">
        <v>517</v>
      </c>
      <c r="H41" s="1291" t="s">
        <v>518</v>
      </c>
      <c r="I41" s="1291" t="s">
        <v>519</v>
      </c>
      <c r="J41" s="1291" t="s">
        <v>520</v>
      </c>
      <c r="K41" s="1291" t="s">
        <v>521</v>
      </c>
      <c r="L41" s="1291" t="s">
        <v>496</v>
      </c>
      <c r="M41" s="1289"/>
      <c r="N41" s="1289"/>
      <c r="O41" s="1289"/>
      <c r="P41" s="1255"/>
      <c r="Q41" s="313"/>
      <c r="R41" s="313"/>
      <c r="S41" s="2614"/>
      <c r="T41" s="2563"/>
      <c r="U41" s="239"/>
      <c r="V41" s="2630"/>
      <c r="W41" s="2541"/>
      <c r="X41" s="1300" t="s">
        <v>522</v>
      </c>
      <c r="Y41" s="1300" t="s">
        <v>523</v>
      </c>
      <c r="Z41" s="1261" t="s">
        <v>524</v>
      </c>
      <c r="AA41" s="2568" t="s">
        <v>525</v>
      </c>
      <c r="AB41" s="2581"/>
      <c r="AC41" s="2620"/>
      <c r="AD41" s="2630"/>
      <c r="AE41" s="2541"/>
      <c r="AF41" s="1300" t="s">
        <v>522</v>
      </c>
      <c r="AG41" s="1300" t="s">
        <v>523</v>
      </c>
      <c r="AH41" s="1261" t="s">
        <v>524</v>
      </c>
      <c r="AI41" s="2568" t="s">
        <v>525</v>
      </c>
      <c r="AJ41" s="2581"/>
      <c r="AK41" s="2620"/>
      <c r="AL41" s="2623"/>
      <c r="AM41" s="246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177</v>
      </c>
      <c r="T42" s="1182" t="s">
        <v>102</v>
      </c>
      <c r="U42" s="1172" t="str">
        <f ca="1">OFFSET(U42,0,-1)</f>
        <v>2</v>
      </c>
      <c r="V42" s="1262">
        <f ca="1">OFFSET(V42,0,-1)+1</f>
        <v>3</v>
      </c>
      <c r="W42" s="1262"/>
      <c r="X42" s="1268">
        <f ca="1">OFFSET(X42,0,-1)+1</f>
        <v>1</v>
      </c>
      <c r="Y42" s="1268">
        <f ca="1">OFFSET(Y42,0,-1)+1</f>
        <v>2</v>
      </c>
      <c r="Z42" s="1262">
        <f ca="1">OFFSET(Z42,0,-1)+1</f>
        <v>3</v>
      </c>
      <c r="AA42" s="2612">
        <f ca="1">OFFSET(AA42,0,-1)+1</f>
        <v>4</v>
      </c>
      <c r="AB42" s="2612"/>
      <c r="AC42" s="1262">
        <f ca="1">OFFSET(AC42,0,-2)+1</f>
        <v>5</v>
      </c>
      <c r="AD42" s="1262">
        <f ca="1">OFFSET(AD42,0,-1)+1</f>
        <v>6</v>
      </c>
      <c r="AE42" s="1262"/>
      <c r="AF42" s="1268">
        <f ca="1">OFFSET(AF42,0,-1)+1</f>
        <v>1</v>
      </c>
      <c r="AG42" s="1268">
        <f ca="1">OFFSET(AG42,0,-1)+1</f>
        <v>2</v>
      </c>
      <c r="AH42" s="1262">
        <f ca="1">OFFSET(AH42,0,-1)+1</f>
        <v>3</v>
      </c>
      <c r="AI42" s="2612">
        <f ca="1">OFFSET(AI42,0,-1)+1</f>
        <v>4</v>
      </c>
      <c r="AJ42" s="2612"/>
      <c r="AK42" s="1262">
        <f ca="1">OFFSET(AK42,0,-2)+1</f>
        <v>5</v>
      </c>
      <c r="AL42" s="1172">
        <f ca="1">OFFSET(AL42,0,-1)</f>
        <v>5</v>
      </c>
      <c r="AM42" s="1262">
        <f ca="1">OFFSET(AM42,0,-1)+1</f>
        <v>6</v>
      </c>
      <c r="AN42" s="448"/>
      <c r="AO42" s="448"/>
      <c r="AP42" s="448"/>
      <c r="AQ42" s="448"/>
      <c r="AR42" s="448"/>
      <c r="AS42" s="433">
        <v>0</v>
      </c>
    </row>
    <row r="43" spans="1:45" ht="21.95" customHeight="1">
      <c r="A43" s="1290" t="s">
        <v>258</v>
      </c>
      <c r="B43" s="1290"/>
      <c r="C43" s="1290"/>
      <c r="D43" s="1290"/>
      <c r="E43" s="260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258</v>
      </c>
      <c r="B44" s="1290" t="s">
        <v>259</v>
      </c>
      <c r="C44" s="1290"/>
      <c r="D44" s="1290"/>
      <c r="E44" s="2602"/>
      <c r="F44" s="2601">
        <v>1</v>
      </c>
      <c r="G44" s="1290"/>
      <c r="H44" s="1290"/>
      <c r="I44" s="1290"/>
      <c r="J44" s="1290"/>
      <c r="K44" s="1290"/>
      <c r="L44" s="1291"/>
      <c r="M44" s="1292"/>
      <c r="N44" s="1292"/>
      <c r="O44" s="1292"/>
      <c r="P44" s="1259"/>
      <c r="Q44" s="289"/>
      <c r="R44" s="290"/>
      <c r="S44" s="1263" t="str">
        <f>INDEX(PT_DIFFERENTIATION_NUM_TER,MATCH(B44,PT_DIFFERENTIATION_TER_ID,0))</f>
        <v>.</v>
      </c>
      <c r="T44" s="245"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437"/>
      <c r="AP44" s="437" t="str">
        <f t="shared" si="1"/>
        <v>Территория действия тарифа</v>
      </c>
      <c r="AQ44" s="437"/>
      <c r="AR44" s="437"/>
      <c r="AS44" s="1082">
        <v>21</v>
      </c>
    </row>
    <row r="45" spans="1:45" ht="24" customHeight="1">
      <c r="A45" s="1290" t="s">
        <v>258</v>
      </c>
      <c r="B45" s="1290" t="s">
        <v>259</v>
      </c>
      <c r="C45" s="1290" t="s">
        <v>260</v>
      </c>
      <c r="D45" s="1290"/>
      <c r="E45" s="2602"/>
      <c r="F45" s="2602"/>
      <c r="G45" s="2601">
        <v>1</v>
      </c>
      <c r="H45" s="1290"/>
      <c r="I45" s="1290"/>
      <c r="J45" s="1290"/>
      <c r="K45" s="1290"/>
      <c r="L45" s="1291"/>
      <c r="M45" s="1292"/>
      <c r="N45" s="1292"/>
      <c r="O45" s="1292"/>
      <c r="P45" s="291"/>
      <c r="Q45" s="289"/>
      <c r="R45" s="290"/>
      <c r="S45" s="1263"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437"/>
      <c r="AP45" s="437" t="str">
        <f t="shared" si="1"/>
        <v xml:space="preserve">Наименование системы теплоснабжения </v>
      </c>
      <c r="AQ45" s="437"/>
      <c r="AR45" s="437"/>
      <c r="AS45" s="1082">
        <v>23</v>
      </c>
    </row>
    <row r="46" spans="1:45" ht="21.95" customHeight="1">
      <c r="A46" s="1290" t="s">
        <v>258</v>
      </c>
      <c r="B46" s="1290" t="s">
        <v>259</v>
      </c>
      <c r="C46" s="1290" t="s">
        <v>260</v>
      </c>
      <c r="D46" s="1290" t="s">
        <v>261</v>
      </c>
      <c r="E46" s="2602"/>
      <c r="F46" s="2602"/>
      <c r="G46" s="2602"/>
      <c r="H46" s="2601">
        <v>1</v>
      </c>
      <c r="I46" s="1290"/>
      <c r="J46" s="1290"/>
      <c r="K46" s="1290"/>
      <c r="L46" s="1291"/>
      <c r="M46" s="1292"/>
      <c r="N46" s="1292"/>
      <c r="O46" s="1292"/>
      <c r="P46" s="291"/>
      <c r="Q46" s="289"/>
      <c r="R46" s="290"/>
      <c r="S46" s="1263"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437"/>
      <c r="AP46" s="437" t="str">
        <f t="shared" si="1"/>
        <v xml:space="preserve">Источник тепловой энергии  </v>
      </c>
      <c r="AQ46" s="437"/>
      <c r="AR46" s="437"/>
      <c r="AS46" s="1082">
        <v>21</v>
      </c>
    </row>
    <row r="47" spans="1:45" ht="49.5" customHeight="1">
      <c r="A47" s="1290" t="s">
        <v>258</v>
      </c>
      <c r="B47" s="1290" t="s">
        <v>259</v>
      </c>
      <c r="C47" s="1290" t="s">
        <v>260</v>
      </c>
      <c r="D47" s="1290" t="s">
        <v>261</v>
      </c>
      <c r="E47" s="2602"/>
      <c r="F47" s="2602"/>
      <c r="G47" s="2602"/>
      <c r="H47" s="2602"/>
      <c r="I47" s="2603" t="str">
        <f>S46&amp;".1"</f>
        <v>....1</v>
      </c>
      <c r="J47" s="1290"/>
      <c r="K47" s="1290"/>
      <c r="L47" s="1291" t="s">
        <v>483</v>
      </c>
      <c r="P47" s="2605">
        <v>1</v>
      </c>
      <c r="Q47" s="1258"/>
      <c r="R47" s="293"/>
      <c r="S47" s="1263" t="str">
        <f>$I47</f>
        <v>....1</v>
      </c>
      <c r="T47" s="222" t="s">
        <v>484</v>
      </c>
      <c r="U47" s="237"/>
      <c r="V47" s="2589"/>
      <c r="W47" s="2590"/>
      <c r="X47" s="2590"/>
      <c r="Y47" s="2590"/>
      <c r="Z47" s="2590"/>
      <c r="AA47" s="2590"/>
      <c r="AB47" s="2590"/>
      <c r="AC47" s="2591"/>
      <c r="AD47" s="2589"/>
      <c r="AE47" s="2590"/>
      <c r="AF47" s="2590"/>
      <c r="AG47" s="2590"/>
      <c r="AH47" s="2590"/>
      <c r="AI47" s="2590"/>
      <c r="AJ47" s="2590"/>
      <c r="AK47" s="2590"/>
      <c r="AL47" s="2591"/>
      <c r="AM47" s="1185" t="s">
        <v>485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258</v>
      </c>
      <c r="B48" s="1290" t="s">
        <v>259</v>
      </c>
      <c r="C48" s="1290" t="s">
        <v>260</v>
      </c>
      <c r="D48" s="1290" t="s">
        <v>261</v>
      </c>
      <c r="E48" s="2602"/>
      <c r="F48" s="2602"/>
      <c r="G48" s="2602"/>
      <c r="H48" s="2602"/>
      <c r="I48" s="2604"/>
      <c r="J48" s="2603" t="str">
        <f>I47&amp;".1"</f>
        <v>....1.1</v>
      </c>
      <c r="K48" s="1290"/>
      <c r="L48" s="1291" t="s">
        <v>486</v>
      </c>
      <c r="P48" s="2605"/>
      <c r="Q48" s="2605">
        <v>1</v>
      </c>
      <c r="R48" s="294"/>
      <c r="S48" s="1263" t="str">
        <f>$J48</f>
        <v>....1.1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437"/>
      <c r="AP48" s="437" t="str">
        <f t="shared" si="1"/>
        <v>Группа потребителей</v>
      </c>
      <c r="AQ48" s="437"/>
      <c r="AR48" s="437"/>
      <c r="AS48" s="1082">
        <v>21</v>
      </c>
    </row>
    <row r="49" spans="1:45" ht="21.95" customHeight="1">
      <c r="A49" s="1290" t="s">
        <v>258</v>
      </c>
      <c r="B49" s="1290" t="s">
        <v>259</v>
      </c>
      <c r="C49" s="1290" t="s">
        <v>260</v>
      </c>
      <c r="D49" s="1290" t="s">
        <v>261</v>
      </c>
      <c r="E49" s="2602"/>
      <c r="F49" s="2602"/>
      <c r="G49" s="2602"/>
      <c r="H49" s="2602"/>
      <c r="I49" s="2604"/>
      <c r="J49" s="2604"/>
      <c r="K49" s="2603" t="str">
        <f>J48&amp;".1"</f>
        <v>....1.1.1</v>
      </c>
      <c r="L49" s="1291" t="s">
        <v>489</v>
      </c>
      <c r="P49" s="2605"/>
      <c r="Q49" s="2605"/>
      <c r="R49" s="294">
        <v>1</v>
      </c>
      <c r="S49" s="1263" t="str">
        <f>$K49</f>
        <v>....1.1.1</v>
      </c>
      <c r="T49" s="1274"/>
      <c r="U49" s="237"/>
      <c r="V49" s="262"/>
      <c r="W49" s="688"/>
      <c r="X49" s="262"/>
      <c r="Y49" s="321"/>
      <c r="Z49" s="2606"/>
      <c r="AA49" s="2471" t="s">
        <v>66</v>
      </c>
      <c r="AB49" s="2606"/>
      <c r="AC49" s="2471" t="s">
        <v>66</v>
      </c>
      <c r="AD49" s="262"/>
      <c r="AE49" s="688"/>
      <c r="AF49" s="262"/>
      <c r="AG49" s="321"/>
      <c r="AH49" s="2606"/>
      <c r="AI49" s="2471" t="s">
        <v>66</v>
      </c>
      <c r="AJ49" s="2608"/>
      <c r="AK49" s="2471" t="s">
        <v>66</v>
      </c>
      <c r="AL49" s="1275"/>
      <c r="AM49" s="2624" t="s">
        <v>490</v>
      </c>
      <c r="AN49" s="448" t="e">
        <f ca="1">STRCHECKDATE(V50:AL50)</f>
        <v>#NAME?</v>
      </c>
      <c r="AO49" s="437"/>
      <c r="AP49" s="437" t="str">
        <f t="shared" si="1"/>
        <v/>
      </c>
      <c r="AQ49" s="437"/>
      <c r="AR49" s="437"/>
      <c r="AS49" s="1082">
        <v>21</v>
      </c>
    </row>
    <row r="50" spans="1:45" ht="1.1499999999999999" customHeight="1">
      <c r="A50" s="1290" t="s">
        <v>258</v>
      </c>
      <c r="B50" s="1290" t="s">
        <v>259</v>
      </c>
      <c r="C50" s="1290" t="s">
        <v>260</v>
      </c>
      <c r="D50" s="1290" t="s">
        <v>261</v>
      </c>
      <c r="E50" s="2602"/>
      <c r="F50" s="2602"/>
      <c r="G50" s="2602"/>
      <c r="H50" s="2602"/>
      <c r="I50" s="2604"/>
      <c r="J50" s="2604"/>
      <c r="K50" s="2603"/>
      <c r="L50" s="1291"/>
      <c r="P50" s="2605"/>
      <c r="Q50" s="2605"/>
      <c r="R50" s="294"/>
      <c r="S50" s="1269"/>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437"/>
      <c r="AP50" s="437" t="str">
        <f t="shared" si="1"/>
        <v/>
      </c>
      <c r="AQ50" s="437"/>
      <c r="AR50" s="437"/>
      <c r="AS50" s="1082">
        <v>1</v>
      </c>
    </row>
    <row r="51" spans="1:45" ht="11.45" customHeight="1">
      <c r="A51" s="1290" t="s">
        <v>258</v>
      </c>
      <c r="B51" s="1290" t="s">
        <v>259</v>
      </c>
      <c r="C51" s="1290" t="s">
        <v>260</v>
      </c>
      <c r="D51" s="1290" t="s">
        <v>261</v>
      </c>
      <c r="E51" s="2602"/>
      <c r="F51" s="2602"/>
      <c r="G51" s="2602"/>
      <c r="H51" s="2602"/>
      <c r="I51" s="2604"/>
      <c r="J51" s="2603"/>
      <c r="K51" s="1290"/>
      <c r="L51" s="1291"/>
      <c r="P51" s="2605"/>
      <c r="Q51" s="2605"/>
      <c r="R51" s="293"/>
      <c r="S51" s="1205"/>
      <c r="T51" s="225" t="s">
        <v>491</v>
      </c>
      <c r="U51" s="304"/>
      <c r="V51" s="304"/>
      <c r="W51" s="304"/>
      <c r="X51" s="304"/>
      <c r="Y51" s="304"/>
      <c r="Z51" s="304"/>
      <c r="AA51" s="304"/>
      <c r="AB51" s="304"/>
      <c r="AC51" s="304"/>
      <c r="AD51" s="304"/>
      <c r="AE51" s="304"/>
      <c r="AF51" s="304"/>
      <c r="AG51" s="304"/>
      <c r="AH51" s="304"/>
      <c r="AI51" s="304"/>
      <c r="AJ51" s="304"/>
      <c r="AK51" s="304"/>
      <c r="AL51" s="261"/>
      <c r="AM51" s="2626"/>
      <c r="AO51" s="437"/>
      <c r="AP51" s="437" t="str">
        <f t="shared" si="1"/>
        <v>Добавить вид теплоносителя (параметры теплоносителя)</v>
      </c>
      <c r="AQ51" s="437"/>
      <c r="AR51" s="437"/>
      <c r="AS51" s="1082">
        <v>11</v>
      </c>
    </row>
    <row r="52" spans="1:45" ht="11.45" customHeight="1">
      <c r="A52" s="1290" t="s">
        <v>258</v>
      </c>
      <c r="B52" s="1290" t="s">
        <v>259</v>
      </c>
      <c r="C52" s="1290" t="s">
        <v>260</v>
      </c>
      <c r="D52" s="1290" t="s">
        <v>261</v>
      </c>
      <c r="E52" s="2602"/>
      <c r="F52" s="2602"/>
      <c r="G52" s="2602"/>
      <c r="H52" s="2602"/>
      <c r="I52" s="2603"/>
      <c r="J52" s="1290"/>
      <c r="K52" s="1290"/>
      <c r="L52" s="1291"/>
      <c r="P52" s="2605"/>
      <c r="Q52" s="1258"/>
      <c r="R52" s="293"/>
      <c r="S52" s="1205"/>
      <c r="T52" s="224" t="s">
        <v>492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258</v>
      </c>
      <c r="B53" s="1290" t="s">
        <v>259</v>
      </c>
      <c r="C53" s="1290" t="s">
        <v>260</v>
      </c>
      <c r="D53" s="1290" t="s">
        <v>261</v>
      </c>
      <c r="E53" s="2602"/>
      <c r="F53" s="2602"/>
      <c r="G53" s="2602"/>
      <c r="H53" s="2601"/>
      <c r="I53" s="1290"/>
      <c r="J53" s="1290"/>
      <c r="K53" s="1290"/>
      <c r="L53" s="1291"/>
      <c r="M53" s="1292"/>
      <c r="N53" s="1292"/>
      <c r="O53" s="474"/>
      <c r="P53" s="297"/>
      <c r="Q53" s="312"/>
      <c r="R53" s="292"/>
      <c r="S53" s="1205"/>
      <c r="T53" s="302" t="s">
        <v>493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258</v>
      </c>
      <c r="B54" s="1270" t="s">
        <v>259</v>
      </c>
      <c r="C54" s="1270" t="s">
        <v>260</v>
      </c>
      <c r="D54" s="1241"/>
      <c r="E54" s="2602"/>
      <c r="F54" s="2602"/>
      <c r="G54" s="2601"/>
      <c r="H54" s="1241"/>
      <c r="I54" s="1241"/>
      <c r="J54" s="1241"/>
      <c r="K54" s="1241"/>
      <c r="L54" s="1266"/>
      <c r="M54" s="1242"/>
      <c r="N54" s="124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258</v>
      </c>
      <c r="B55" s="1270" t="s">
        <v>259</v>
      </c>
      <c r="C55" s="1241"/>
      <c r="D55" s="1241"/>
      <c r="E55" s="2602"/>
      <c r="F55" s="2601"/>
      <c r="G55" s="1241"/>
      <c r="H55" s="1241"/>
      <c r="I55" s="1241"/>
      <c r="J55" s="1241"/>
      <c r="K55" s="1241"/>
      <c r="L55" s="1266"/>
      <c r="M55" s="1248"/>
      <c r="N55" s="124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258</v>
      </c>
      <c r="B56" s="1270"/>
      <c r="C56" s="1270"/>
      <c r="D56" s="1270"/>
      <c r="E56" s="2601"/>
      <c r="F56" s="1270"/>
      <c r="G56" s="1270"/>
      <c r="H56" s="1270"/>
      <c r="I56" s="1270"/>
      <c r="J56" s="1270"/>
      <c r="K56" s="1270"/>
      <c r="L56" s="1273"/>
      <c r="M56" s="1248"/>
      <c r="N56" s="1248"/>
      <c r="O56" s="455"/>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2">
        <v>27</v>
      </c>
    </row>
    <row r="60" spans="1:45" ht="78.75" customHeight="1">
      <c r="O60" s="474"/>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2">
        <v>75</v>
      </c>
    </row>
    <row r="61" spans="1:45" ht="14.65" customHeight="1">
      <c r="O61" s="474"/>
      <c r="AS61" s="1082">
        <v>14</v>
      </c>
    </row>
    <row r="62" spans="1:45" ht="18.75" customHeight="1">
      <c r="O62" s="474"/>
      <c r="S62" s="1180"/>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082">
        <v>18</v>
      </c>
    </row>
    <row r="63" spans="1:45" ht="18.75" customHeight="1">
      <c r="O63" s="474"/>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082">
        <v>18</v>
      </c>
    </row>
    <row r="64" spans="1:45" ht="39.75" customHeight="1">
      <c r="O64" s="474"/>
      <c r="S64" s="1180"/>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601">
        <v>1</v>
      </c>
      <c r="F2" s="1290"/>
      <c r="G2" s="1290"/>
      <c r="H2" s="1290"/>
      <c r="I2" s="1290"/>
      <c r="J2" s="1290"/>
      <c r="K2" s="1290"/>
      <c r="L2" s="1291"/>
      <c r="M2" s="1292"/>
      <c r="N2" s="1292"/>
      <c r="O2" s="1292"/>
      <c r="P2" s="298"/>
      <c r="Q2" s="297"/>
      <c r="R2" s="292"/>
      <c r="S2" s="1263" t="e">
        <f>INDEX(PT_DIFFERENTIATION_NUM_NTAR,MATCH(A2,PT_DIFFERENTIATION_NTAR_ID,0))</f>
        <v>#N/A</v>
      </c>
      <c r="T2" s="235"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437"/>
      <c r="AP2" s="437" t="str">
        <f t="shared" ref="AP2:AP15" si="0">IF(T2="","",T2)</f>
        <v>Наименование тарифа</v>
      </c>
      <c r="AQ2" s="437"/>
      <c r="AR2" s="437"/>
      <c r="AS2" s="1082">
        <v>0</v>
      </c>
    </row>
    <row r="3" spans="1:45" ht="21" hidden="1" customHeight="1">
      <c r="A3" s="1290"/>
      <c r="B3" s="1290"/>
      <c r="C3" s="1290"/>
      <c r="D3" s="1290"/>
      <c r="E3" s="2602"/>
      <c r="F3" s="2601">
        <v>1</v>
      </c>
      <c r="G3" s="1290"/>
      <c r="H3" s="1290"/>
      <c r="I3" s="1290"/>
      <c r="J3" s="1290"/>
      <c r="K3" s="1290"/>
      <c r="L3" s="1291"/>
      <c r="M3" s="1292"/>
      <c r="N3" s="1292"/>
      <c r="O3" s="1292"/>
      <c r="P3" s="1259"/>
      <c r="Q3" s="289"/>
      <c r="R3" s="290"/>
      <c r="S3" s="1263" t="e">
        <f>INDEX(PT_DIFFERENTIATION_NUM_TER,MATCH(B3,PT_DIFFERENTIATION_TER_ID,0))</f>
        <v>#N/A</v>
      </c>
      <c r="T3" s="245"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437"/>
      <c r="AP3" s="437" t="str">
        <f t="shared" si="0"/>
        <v>Территория действия тарифа</v>
      </c>
      <c r="AQ3" s="437"/>
      <c r="AR3" s="437"/>
      <c r="AS3" s="1082">
        <v>0</v>
      </c>
    </row>
    <row r="4" spans="1:45" ht="23.25" hidden="1" customHeight="1">
      <c r="A4" s="1290"/>
      <c r="B4" s="1290"/>
      <c r="C4" s="1290"/>
      <c r="D4" s="1290"/>
      <c r="E4" s="2602"/>
      <c r="F4" s="2602"/>
      <c r="G4" s="2601">
        <v>1</v>
      </c>
      <c r="H4" s="1290"/>
      <c r="I4" s="1290"/>
      <c r="J4" s="1290"/>
      <c r="K4" s="1290"/>
      <c r="L4" s="1291"/>
      <c r="M4" s="1292"/>
      <c r="N4" s="1292"/>
      <c r="O4" s="1292"/>
      <c r="P4" s="291"/>
      <c r="Q4" s="289"/>
      <c r="R4" s="290"/>
      <c r="S4" s="1263"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02"/>
      <c r="F5" s="2602"/>
      <c r="G5" s="2602"/>
      <c r="H5" s="2601">
        <v>1</v>
      </c>
      <c r="I5" s="1290"/>
      <c r="J5" s="1290"/>
      <c r="K5" s="1290"/>
      <c r="L5" s="1291"/>
      <c r="M5" s="1292"/>
      <c r="N5" s="1292"/>
      <c r="O5" s="1292"/>
      <c r="P5" s="291"/>
      <c r="Q5" s="289"/>
      <c r="R5" s="290"/>
      <c r="S5" s="1263"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437"/>
      <c r="AP5" s="437" t="str">
        <f t="shared" si="0"/>
        <v xml:space="preserve">Источник тепловой энергии  </v>
      </c>
      <c r="AQ5" s="437"/>
      <c r="AR5" s="437"/>
      <c r="AS5" s="1082">
        <v>0</v>
      </c>
    </row>
    <row r="6" spans="1:45" ht="14.25" hidden="1" customHeight="1">
      <c r="A6" s="1290"/>
      <c r="B6" s="1290"/>
      <c r="C6" s="1290"/>
      <c r="D6" s="1290"/>
      <c r="E6" s="2602"/>
      <c r="F6" s="2602"/>
      <c r="G6" s="2602"/>
      <c r="H6" s="2602"/>
      <c r="I6" s="2603" t="e">
        <f>S5&amp;".1"</f>
        <v>#N/A</v>
      </c>
      <c r="J6" s="1290"/>
      <c r="K6" s="1290"/>
      <c r="L6" s="1291" t="s">
        <v>483</v>
      </c>
      <c r="M6" s="474"/>
      <c r="P6" s="2605">
        <v>1</v>
      </c>
      <c r="Q6" s="1258"/>
      <c r="R6" s="293"/>
      <c r="S6" s="972"/>
      <c r="T6" s="1310"/>
      <c r="U6" s="1311"/>
      <c r="V6" s="2632"/>
      <c r="W6" s="2633"/>
      <c r="X6" s="2633"/>
      <c r="Y6" s="2633"/>
      <c r="Z6" s="2633"/>
      <c r="AA6" s="2633"/>
      <c r="AB6" s="2633"/>
      <c r="AC6" s="2634"/>
      <c r="AD6" s="2632"/>
      <c r="AE6" s="2633"/>
      <c r="AF6" s="2633"/>
      <c r="AG6" s="2633"/>
      <c r="AH6" s="2633"/>
      <c r="AI6" s="2633"/>
      <c r="AJ6" s="2633"/>
      <c r="AK6" s="2633"/>
      <c r="AL6" s="2634"/>
      <c r="AM6" s="1312"/>
      <c r="AO6" s="437"/>
      <c r="AP6" s="437" t="str">
        <f t="shared" si="0"/>
        <v/>
      </c>
      <c r="AQ6" s="437"/>
      <c r="AR6" s="437"/>
      <c r="AS6" s="1082">
        <v>0</v>
      </c>
    </row>
    <row r="7" spans="1:45" ht="21" hidden="1" customHeight="1">
      <c r="A7" s="1290"/>
      <c r="B7" s="1290"/>
      <c r="C7" s="1290"/>
      <c r="D7" s="1290"/>
      <c r="E7" s="2602"/>
      <c r="F7" s="2602"/>
      <c r="G7" s="2602"/>
      <c r="H7" s="2602"/>
      <c r="I7" s="2604"/>
      <c r="J7" s="2603" t="e">
        <f>I6&amp;".1"</f>
        <v>#N/A</v>
      </c>
      <c r="K7" s="1290"/>
      <c r="L7" s="1291" t="s">
        <v>486</v>
      </c>
      <c r="M7" s="474"/>
      <c r="N7" s="1293"/>
      <c r="P7" s="2605"/>
      <c r="Q7" s="2605">
        <v>1</v>
      </c>
      <c r="R7" s="294"/>
      <c r="S7" s="1263"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437"/>
      <c r="AP7" s="437" t="str">
        <f t="shared" si="0"/>
        <v>Группа потребителей</v>
      </c>
      <c r="AQ7" s="437"/>
      <c r="AR7" s="437"/>
      <c r="AS7" s="1082">
        <v>0</v>
      </c>
    </row>
    <row r="8" spans="1:45" ht="21" hidden="1" customHeight="1">
      <c r="A8" s="1290"/>
      <c r="B8" s="1290"/>
      <c r="C8" s="1290"/>
      <c r="D8" s="1290"/>
      <c r="E8" s="2602"/>
      <c r="F8" s="2602"/>
      <c r="G8" s="2602"/>
      <c r="H8" s="2602"/>
      <c r="I8" s="2604"/>
      <c r="J8" s="2604"/>
      <c r="K8" s="2603" t="e">
        <f>J7&amp;".1"</f>
        <v>#N/A</v>
      </c>
      <c r="L8" s="1291" t="s">
        <v>489</v>
      </c>
      <c r="M8" s="474"/>
      <c r="N8" s="1293"/>
      <c r="O8" s="1293"/>
      <c r="P8" s="2605"/>
      <c r="Q8" s="2605"/>
      <c r="R8" s="294">
        <v>1</v>
      </c>
      <c r="S8" s="1263" t="e">
        <f>$K8</f>
        <v>#N/A</v>
      </c>
      <c r="T8" s="1274"/>
      <c r="U8" s="237"/>
      <c r="V8" s="688"/>
      <c r="W8" s="262"/>
      <c r="X8" s="688"/>
      <c r="Y8" s="1184"/>
      <c r="Z8" s="2606"/>
      <c r="AA8" s="2471" t="s">
        <v>66</v>
      </c>
      <c r="AB8" s="2606"/>
      <c r="AC8" s="2471" t="s">
        <v>66</v>
      </c>
      <c r="AD8" s="688"/>
      <c r="AE8" s="262"/>
      <c r="AF8" s="688"/>
      <c r="AG8" s="1184"/>
      <c r="AH8" s="2606"/>
      <c r="AI8" s="2471" t="s">
        <v>66</v>
      </c>
      <c r="AJ8" s="2606"/>
      <c r="AK8" s="2471" t="s">
        <v>66</v>
      </c>
      <c r="AL8" s="262"/>
      <c r="AM8" s="2624" t="s">
        <v>490</v>
      </c>
      <c r="AN8" s="448" t="e">
        <f ca="1">STRCHECKDATE(V9:AL9)</f>
        <v>#NAME?</v>
      </c>
      <c r="AO8" s="437"/>
      <c r="AP8" s="437" t="str">
        <f t="shared" si="0"/>
        <v/>
      </c>
      <c r="AQ8" s="437"/>
      <c r="AR8" s="437"/>
      <c r="AS8" s="1082">
        <v>0</v>
      </c>
    </row>
    <row r="9" spans="1:45" ht="0.75" hidden="1" customHeight="1">
      <c r="A9" s="1290"/>
      <c r="B9" s="1290"/>
      <c r="C9" s="1290"/>
      <c r="D9" s="1290"/>
      <c r="E9" s="2602"/>
      <c r="F9" s="2602"/>
      <c r="G9" s="2602"/>
      <c r="H9" s="2602"/>
      <c r="I9" s="2604"/>
      <c r="J9" s="2604"/>
      <c r="K9" s="2603"/>
      <c r="L9" s="1291"/>
      <c r="M9" s="474"/>
      <c r="N9" s="1293"/>
      <c r="O9" s="1293"/>
      <c r="P9" s="2605"/>
      <c r="Q9" s="2605"/>
      <c r="R9" s="294"/>
      <c r="S9" s="1269"/>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437"/>
      <c r="AP9" s="437" t="str">
        <f t="shared" si="0"/>
        <v/>
      </c>
      <c r="AQ9" s="437"/>
      <c r="AR9" s="437"/>
      <c r="AS9" s="1082">
        <v>0</v>
      </c>
    </row>
    <row r="10" spans="1:45" ht="15" hidden="1" customHeight="1">
      <c r="A10" s="1290"/>
      <c r="B10" s="1290"/>
      <c r="C10" s="1290"/>
      <c r="D10" s="1290"/>
      <c r="E10" s="2602"/>
      <c r="F10" s="2602"/>
      <c r="G10" s="2602"/>
      <c r="H10" s="2602"/>
      <c r="I10" s="2604"/>
      <c r="J10" s="2603"/>
      <c r="K10" s="1290"/>
      <c r="L10" s="1291"/>
      <c r="M10" s="474"/>
      <c r="N10" s="1293"/>
      <c r="P10" s="2605"/>
      <c r="Q10" s="2605"/>
      <c r="R10" s="293"/>
      <c r="S10" s="1205"/>
      <c r="T10" s="224" t="s">
        <v>491</v>
      </c>
      <c r="U10" s="304"/>
      <c r="V10" s="304"/>
      <c r="W10" s="304"/>
      <c r="X10" s="304"/>
      <c r="Y10" s="304"/>
      <c r="Z10" s="304"/>
      <c r="AA10" s="304"/>
      <c r="AB10" s="304"/>
      <c r="AC10" s="304"/>
      <c r="AD10" s="304"/>
      <c r="AE10" s="304"/>
      <c r="AF10" s="304"/>
      <c r="AG10" s="304"/>
      <c r="AH10" s="304"/>
      <c r="AI10" s="304"/>
      <c r="AJ10" s="304"/>
      <c r="AK10" s="304"/>
      <c r="AL10" s="261"/>
      <c r="AM10" s="262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602"/>
      <c r="F11" s="2602"/>
      <c r="G11" s="2602"/>
      <c r="H11" s="2602"/>
      <c r="I11" s="2603"/>
      <c r="J11" s="1290"/>
      <c r="K11" s="1290"/>
      <c r="L11" s="1291"/>
      <c r="M11" s="474"/>
      <c r="P11" s="2605"/>
      <c r="Q11" s="1258"/>
      <c r="R11" s="293"/>
      <c r="S11" s="1205"/>
      <c r="T11" s="302" t="s">
        <v>492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02"/>
      <c r="F12" s="2602"/>
      <c r="G12" s="2602"/>
      <c r="H12" s="260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602"/>
      <c r="F13" s="2602"/>
      <c r="G13" s="2601"/>
      <c r="H13" s="1241"/>
      <c r="I13" s="1241"/>
      <c r="J13" s="1241"/>
      <c r="K13" s="1241"/>
      <c r="L13" s="1266"/>
      <c r="M13" s="1242"/>
      <c r="N13" s="124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02"/>
      <c r="F14" s="2601"/>
      <c r="G14" s="1241"/>
      <c r="H14" s="1241"/>
      <c r="I14" s="1241"/>
      <c r="J14" s="1241"/>
      <c r="K14" s="1241"/>
      <c r="L14" s="1266"/>
      <c r="M14" s="1248"/>
      <c r="N14" s="124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01"/>
      <c r="F15" s="1241"/>
      <c r="G15" s="1241"/>
      <c r="H15" s="1241"/>
      <c r="I15" s="1241"/>
      <c r="J15" s="1241"/>
      <c r="K15" s="1241"/>
      <c r="L15" s="1266"/>
      <c r="M15" s="1248"/>
      <c r="N15" s="124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99"/>
      <c r="AI17" s="2598" t="s">
        <v>66</v>
      </c>
      <c r="AJ17" s="2599"/>
      <c r="AK17" s="2598" t="s">
        <v>66</v>
      </c>
      <c r="AS17" s="1082">
        <v>0</v>
      </c>
    </row>
    <row r="18" spans="1:45" ht="14.25" hidden="1" customHeight="1">
      <c r="AD18" s="1287"/>
      <c r="AE18" s="1287"/>
      <c r="AF18" s="1287"/>
      <c r="AG18" s="265" t="str">
        <f>AH17&amp;"-"&amp;AJ17</f>
        <v>-</v>
      </c>
      <c r="AH18" s="2598"/>
      <c r="AI18" s="2598"/>
      <c r="AJ18" s="2598"/>
      <c r="AK18" s="2598"/>
      <c r="AS18" s="1082">
        <v>0</v>
      </c>
    </row>
    <row r="19" spans="1:45" ht="14.25" hidden="1" customHeight="1">
      <c r="AK19" s="264"/>
      <c r="AS19" s="1082">
        <v>0</v>
      </c>
    </row>
    <row r="20" spans="1:45" s="1293" customFormat="1" ht="22.5" hidden="1" customHeight="1">
      <c r="L20" s="1256"/>
      <c r="M20" s="1289"/>
      <c r="N20" s="1289"/>
      <c r="O20" s="1294" t="s">
        <v>495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496</v>
      </c>
      <c r="P22" s="1289"/>
      <c r="Q22" s="1298"/>
      <c r="R22" s="1298"/>
      <c r="S22" s="666"/>
      <c r="T22" s="1087" t="s">
        <v>497</v>
      </c>
      <c r="AA22" s="123" t="s">
        <v>498</v>
      </c>
      <c r="AC22" s="123" t="s">
        <v>499</v>
      </c>
      <c r="AD22" s="1087" t="s">
        <v>497</v>
      </c>
      <c r="AI22" s="123" t="s">
        <v>500</v>
      </c>
      <c r="AK22" s="123" t="s">
        <v>499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5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2"/>
      <c r="U26" s="2582"/>
      <c r="V26" s="2582"/>
      <c r="W26" s="2582"/>
      <c r="X26" s="2582"/>
      <c r="Y26" s="2582"/>
      <c r="Z26" s="2582"/>
      <c r="AA26" s="2582"/>
      <c r="AB26" s="2582"/>
      <c r="AC26" s="2582"/>
      <c r="AD26" s="2582"/>
      <c r="AE26" s="2582"/>
      <c r="AF26" s="2582"/>
      <c r="AG26" s="2582"/>
      <c r="AH26" s="2582"/>
      <c r="AI26" s="2582"/>
      <c r="AJ26" s="2582"/>
      <c r="AK26" s="1170"/>
      <c r="AS26" s="1082">
        <v>60</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263"/>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92" t="s">
        <v>501</v>
      </c>
      <c r="T30" s="2592"/>
      <c r="U30" s="1299"/>
      <c r="V30" s="2593">
        <f>IF(TITLE_DATE_PR_CHANGE="",IF(TITLE_DATE_PR="","",TITLE_DATE_PR),TITLE_DATE_PR_CHANGE)</f>
        <v>45596.468541666669</v>
      </c>
      <c r="W30" s="2593"/>
      <c r="X30" s="2593"/>
      <c r="Y30" s="2593"/>
      <c r="Z30" s="2593"/>
      <c r="AA30" s="2593"/>
      <c r="AB30" s="2593"/>
      <c r="AC30" s="263"/>
      <c r="AD30" s="2593">
        <f>IF(TITLE_DATE_PR_CHANGE="",IF(TITLE_DATE_PR="","",TITLE_DATE_PR),TITLE_DATE_PR_CHANGE)</f>
        <v>45596.468541666669</v>
      </c>
      <c r="AE30" s="2593"/>
      <c r="AF30" s="2593"/>
      <c r="AG30" s="2593"/>
      <c r="AH30" s="2593"/>
      <c r="AI30" s="2593"/>
      <c r="AJ30" s="2593"/>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92" t="s">
        <v>502</v>
      </c>
      <c r="T31" s="2592"/>
      <c r="U31" s="1299"/>
      <c r="V31" s="2594" t="str">
        <f>IF(TITLE_NUMBER_PR_CHANGE="",IF(TITLE_NUMBER_PR="","",TITLE_NUMBER_PR),TITLE_NUMBER_PR_CHANGE)</f>
        <v>440,503</v>
      </c>
      <c r="W31" s="2594"/>
      <c r="X31" s="2594"/>
      <c r="Y31" s="2594"/>
      <c r="Z31" s="2594"/>
      <c r="AA31" s="2594"/>
      <c r="AB31" s="2594"/>
      <c r="AC31" s="263"/>
      <c r="AD31" s="2594" t="str">
        <f>IF(TITLE_NUMBER_PR_CHANGE="",IF(TITLE_NUMBER_PR="","",TITLE_NUMBER_PR),TITLE_NUMBER_PR_CHANGE)</f>
        <v>440,503</v>
      </c>
      <c r="AE31" s="2594"/>
      <c r="AF31" s="2594"/>
      <c r="AG31" s="2594"/>
      <c r="AH31" s="2594"/>
      <c r="AI31" s="2594"/>
      <c r="AJ31" s="2594"/>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263"/>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92" t="s">
        <v>503</v>
      </c>
      <c r="T34" s="2592"/>
      <c r="U34" s="1299"/>
      <c r="V34" s="2593">
        <f>IF(TITLE_DATE_PR_CHANGE="",IF(TITLE_DATE_PR="","",TITLE_DATE_PR),TITLE_DATE_PR_CHANGE)</f>
        <v>45596.468541666669</v>
      </c>
      <c r="W34" s="2593"/>
      <c r="X34" s="2593"/>
      <c r="Y34" s="2593"/>
      <c r="Z34" s="2593"/>
      <c r="AA34" s="2593"/>
      <c r="AB34" s="2593"/>
      <c r="AC34" s="263"/>
      <c r="AD34" s="2593">
        <f>IF(TITLE_DATE_PR_CHANGE="",IF(TITLE_DATE_PR="","",TITLE_DATE_PR),TITLE_DATE_PR_CHANGE)</f>
        <v>45596.468541666669</v>
      </c>
      <c r="AE34" s="2593"/>
      <c r="AF34" s="2593"/>
      <c r="AG34" s="2593"/>
      <c r="AH34" s="2593"/>
      <c r="AI34" s="2593"/>
      <c r="AJ34" s="259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92" t="s">
        <v>504</v>
      </c>
      <c r="T35" s="2592"/>
      <c r="U35" s="1299"/>
      <c r="V35" s="2594" t="str">
        <f>IF(TITLE_NUMBER_PR_CHANGE="",IF(TITLE_NUMBER_PR="","",TITLE_NUMBER_PR),TITLE_NUMBER_PR_CHANGE)</f>
        <v>440,503</v>
      </c>
      <c r="W35" s="2594"/>
      <c r="X35" s="2594"/>
      <c r="Y35" s="2594"/>
      <c r="Z35" s="2594"/>
      <c r="AA35" s="2594"/>
      <c r="AB35" s="2594"/>
      <c r="AC35" s="263"/>
      <c r="AD35" s="2594" t="str">
        <f>IF(TITLE_NUMBER_PR_CHANGE="",IF(TITLE_NUMBER_PR="","",TITLE_NUMBER_PR),TITLE_NUMBER_PR_CHANGE)</f>
        <v>440,503</v>
      </c>
      <c r="AE35" s="2594"/>
      <c r="AF35" s="2594"/>
      <c r="AG35" s="2594"/>
      <c r="AH35" s="2594"/>
      <c r="AI35" s="2594"/>
      <c r="AJ35" s="259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505</v>
      </c>
      <c r="AD36" s="263"/>
      <c r="AE36" s="263"/>
      <c r="AF36" s="263"/>
      <c r="AG36" s="263"/>
      <c r="AH36" s="263"/>
      <c r="AI36" s="263"/>
      <c r="AJ36" s="263"/>
      <c r="AK36" s="215" t="s">
        <v>505</v>
      </c>
      <c r="AN36" s="305"/>
      <c r="AO36" s="305"/>
      <c r="AP36" s="305"/>
      <c r="AQ36" s="305"/>
      <c r="AR36" s="305"/>
      <c r="AS36" s="355">
        <v>0</v>
      </c>
    </row>
    <row r="37" spans="1:45" ht="14.65" customHeight="1">
      <c r="Q37" s="313"/>
      <c r="R37" s="313"/>
      <c r="S37" s="1202"/>
      <c r="T37" s="300"/>
      <c r="U37" s="1171"/>
      <c r="V37" s="2613"/>
      <c r="W37" s="2613"/>
      <c r="X37" s="2613"/>
      <c r="Y37" s="2613"/>
      <c r="Z37" s="2613"/>
      <c r="AA37" s="2613"/>
      <c r="AB37" s="2613"/>
      <c r="AC37" s="2613"/>
      <c r="AD37" s="2613"/>
      <c r="AE37" s="2613"/>
      <c r="AF37" s="2613"/>
      <c r="AG37" s="2613"/>
      <c r="AH37" s="2613"/>
      <c r="AI37" s="2613"/>
      <c r="AJ37" s="2613"/>
      <c r="AK37" s="2613"/>
      <c r="AS37" s="1082">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082">
        <v>14</v>
      </c>
    </row>
    <row r="39" spans="1:45" ht="14.65" customHeight="1">
      <c r="Q39" s="313"/>
      <c r="R39" s="313"/>
      <c r="S39" s="2614" t="s">
        <v>88</v>
      </c>
      <c r="T39" s="2563" t="s">
        <v>506</v>
      </c>
      <c r="U39" s="238"/>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082">
        <v>14</v>
      </c>
    </row>
    <row r="40" spans="1:45" ht="35.65" customHeight="1">
      <c r="Q40" s="313"/>
      <c r="R40" s="313"/>
      <c r="S40" s="2614"/>
      <c r="T40" s="2563"/>
      <c r="U40" s="961"/>
      <c r="V40" s="2535" t="s">
        <v>511</v>
      </c>
      <c r="W40" s="2610"/>
      <c r="X40" s="2442" t="s">
        <v>513</v>
      </c>
      <c r="Y40" s="2441"/>
      <c r="Z40" s="2442" t="s">
        <v>514</v>
      </c>
      <c r="AA40" s="2448"/>
      <c r="AB40" s="2441"/>
      <c r="AC40" s="2619"/>
      <c r="AD40" s="2535" t="s">
        <v>527</v>
      </c>
      <c r="AE40" s="2610"/>
      <c r="AF40" s="2442" t="s">
        <v>513</v>
      </c>
      <c r="AG40" s="2441"/>
      <c r="AH40" s="2442" t="s">
        <v>514</v>
      </c>
      <c r="AI40" s="2448"/>
      <c r="AJ40" s="2441"/>
      <c r="AK40" s="2619"/>
      <c r="AL40" s="2622"/>
      <c r="AM40" s="2461"/>
      <c r="AS40" s="1082">
        <v>34</v>
      </c>
    </row>
    <row r="41" spans="1:45" ht="35.65" customHeight="1">
      <c r="A41" s="1297"/>
      <c r="B41" s="1297" t="s">
        <v>201</v>
      </c>
      <c r="C41" s="1297" t="s">
        <v>202</v>
      </c>
      <c r="D41" s="1297" t="s">
        <v>203</v>
      </c>
      <c r="E41" s="1291" t="s">
        <v>515</v>
      </c>
      <c r="F41" s="1291" t="s">
        <v>516</v>
      </c>
      <c r="G41" s="1291" t="s">
        <v>517</v>
      </c>
      <c r="H41" s="1291" t="s">
        <v>518</v>
      </c>
      <c r="I41" s="1291" t="s">
        <v>519</v>
      </c>
      <c r="J41" s="1291" t="s">
        <v>520</v>
      </c>
      <c r="K41" s="1291" t="s">
        <v>521</v>
      </c>
      <c r="L41" s="1291" t="s">
        <v>496</v>
      </c>
      <c r="Q41" s="313"/>
      <c r="R41" s="313"/>
      <c r="S41" s="2614"/>
      <c r="T41" s="2563"/>
      <c r="U41" s="239"/>
      <c r="V41" s="2587"/>
      <c r="W41" s="2611"/>
      <c r="X41" s="1149" t="s">
        <v>522</v>
      </c>
      <c r="Y41" s="1149" t="s">
        <v>523</v>
      </c>
      <c r="Z41" s="1265" t="s">
        <v>524</v>
      </c>
      <c r="AA41" s="2568" t="s">
        <v>525</v>
      </c>
      <c r="AB41" s="2581"/>
      <c r="AC41" s="2620"/>
      <c r="AD41" s="2587"/>
      <c r="AE41" s="2611"/>
      <c r="AF41" s="1149" t="s">
        <v>522</v>
      </c>
      <c r="AG41" s="1149" t="s">
        <v>523</v>
      </c>
      <c r="AH41" s="1265" t="s">
        <v>524</v>
      </c>
      <c r="AI41" s="2568" t="s">
        <v>525</v>
      </c>
      <c r="AJ41" s="2581"/>
      <c r="AK41" s="2620"/>
      <c r="AL41" s="2623"/>
      <c r="AM41" s="246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177</v>
      </c>
      <c r="T42" s="1182" t="s">
        <v>102</v>
      </c>
      <c r="U42" s="1172" t="str">
        <f ca="1">OFFSET(U42,0,-1)</f>
        <v>2</v>
      </c>
      <c r="V42" s="1262">
        <f ca="1">OFFSET(V42,0,-1)+1</f>
        <v>3</v>
      </c>
      <c r="W42" s="1262"/>
      <c r="X42" s="1262">
        <f ca="1">OFFSET(X42,0,-1)+1</f>
        <v>1</v>
      </c>
      <c r="Y42" s="1262">
        <f ca="1">OFFSET(Y42,0,-1)+1</f>
        <v>2</v>
      </c>
      <c r="Z42" s="1262">
        <f ca="1">OFFSET(Z42,0,-1)+1</f>
        <v>3</v>
      </c>
      <c r="AA42" s="2612">
        <f ca="1">OFFSET(AA42,0,-1)+1</f>
        <v>4</v>
      </c>
      <c r="AB42" s="2612"/>
      <c r="AC42" s="1262">
        <f ca="1">OFFSET(AC42,0,-2)+1</f>
        <v>5</v>
      </c>
      <c r="AD42" s="1262">
        <f ca="1">OFFSET(AD42,0,-1)+1</f>
        <v>6</v>
      </c>
      <c r="AE42" s="1262"/>
      <c r="AF42" s="1262">
        <f ca="1">OFFSET(AF42,0,-1)+1</f>
        <v>1</v>
      </c>
      <c r="AG42" s="1262">
        <f ca="1">OFFSET(AG42,0,-1)+1</f>
        <v>2</v>
      </c>
      <c r="AH42" s="1262">
        <f ca="1">OFFSET(AH42,0,-1)+1</f>
        <v>3</v>
      </c>
      <c r="AI42" s="2612">
        <f ca="1">OFFSET(AI42,0,-1)+1</f>
        <v>4</v>
      </c>
      <c r="AJ42" s="2612"/>
      <c r="AK42" s="1262">
        <f ca="1">OFFSET(AK42,0,-2)+1</f>
        <v>5</v>
      </c>
      <c r="AL42" s="1172">
        <f ca="1">OFFSET(AL42,0,-1)</f>
        <v>5</v>
      </c>
      <c r="AM42" s="1262">
        <f ca="1">OFFSET(AM42,0,-1)+1</f>
        <v>6</v>
      </c>
      <c r="AN42" s="448"/>
      <c r="AO42" s="448"/>
      <c r="AP42" s="448"/>
      <c r="AQ42" s="448"/>
      <c r="AR42" s="448"/>
      <c r="AS42" s="433">
        <v>0</v>
      </c>
    </row>
    <row r="43" spans="1:45" ht="21.95" customHeight="1">
      <c r="A43" s="1290" t="s">
        <v>234</v>
      </c>
      <c r="B43" s="1290"/>
      <c r="C43" s="1290"/>
      <c r="D43" s="1290"/>
      <c r="E43" s="260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234</v>
      </c>
      <c r="B44" s="1290" t="s">
        <v>235</v>
      </c>
      <c r="C44" s="1290"/>
      <c r="D44" s="1290"/>
      <c r="E44" s="2602"/>
      <c r="F44" s="2601">
        <v>1</v>
      </c>
      <c r="G44" s="1290"/>
      <c r="H44" s="1290"/>
      <c r="I44" s="1290"/>
      <c r="J44" s="1290"/>
      <c r="K44" s="1290"/>
      <c r="L44" s="1291"/>
      <c r="M44" s="1292"/>
      <c r="N44" s="1292"/>
      <c r="O44" s="1292"/>
      <c r="P44" s="1259"/>
      <c r="Q44" s="289"/>
      <c r="R44" s="290"/>
      <c r="S44" s="1263" t="str">
        <f>INDEX(PT_DIFFERENTIATION_NUM_TER,MATCH(B44,PT_DIFFERENTIATION_TER_ID,0))</f>
        <v>.</v>
      </c>
      <c r="T44" s="245"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437"/>
      <c r="AP44" s="437" t="str">
        <f t="shared" si="1"/>
        <v>Территория действия тарифа</v>
      </c>
      <c r="AQ44" s="437"/>
      <c r="AR44" s="437"/>
      <c r="AS44" s="1082">
        <v>21</v>
      </c>
    </row>
    <row r="45" spans="1:45" ht="24" customHeight="1">
      <c r="A45" s="1290" t="s">
        <v>234</v>
      </c>
      <c r="B45" s="1290" t="s">
        <v>235</v>
      </c>
      <c r="C45" s="1290" t="s">
        <v>236</v>
      </c>
      <c r="D45" s="1290"/>
      <c r="E45" s="2602"/>
      <c r="F45" s="2602"/>
      <c r="G45" s="2601">
        <v>1</v>
      </c>
      <c r="H45" s="1290"/>
      <c r="I45" s="1290"/>
      <c r="J45" s="1290"/>
      <c r="K45" s="1290"/>
      <c r="L45" s="1291"/>
      <c r="M45" s="1292"/>
      <c r="N45" s="1292"/>
      <c r="O45" s="1292"/>
      <c r="P45" s="291"/>
      <c r="Q45" s="289"/>
      <c r="R45" s="290"/>
      <c r="S45" s="1263"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437"/>
      <c r="AP45" s="437" t="str">
        <f t="shared" si="1"/>
        <v xml:space="preserve">Наименование системы теплоснабжения </v>
      </c>
      <c r="AQ45" s="437"/>
      <c r="AR45" s="437"/>
      <c r="AS45" s="1082">
        <v>23</v>
      </c>
    </row>
    <row r="46" spans="1:45" ht="21.95" customHeight="1">
      <c r="A46" s="1290" t="s">
        <v>234</v>
      </c>
      <c r="B46" s="1290" t="s">
        <v>235</v>
      </c>
      <c r="C46" s="1290" t="s">
        <v>236</v>
      </c>
      <c r="D46" s="1290" t="s">
        <v>237</v>
      </c>
      <c r="E46" s="2602"/>
      <c r="F46" s="2602"/>
      <c r="G46" s="2602"/>
      <c r="H46" s="2601">
        <v>1</v>
      </c>
      <c r="I46" s="1290"/>
      <c r="J46" s="1290"/>
      <c r="K46" s="1290"/>
      <c r="L46" s="1291"/>
      <c r="M46" s="1292"/>
      <c r="N46" s="1292"/>
      <c r="O46" s="1292"/>
      <c r="P46" s="291"/>
      <c r="Q46" s="289"/>
      <c r="R46" s="290"/>
      <c r="S46" s="1263"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437"/>
      <c r="AP46" s="437" t="str">
        <f t="shared" si="1"/>
        <v xml:space="preserve">Источник тепловой энергии  </v>
      </c>
      <c r="AQ46" s="437"/>
      <c r="AR46" s="437"/>
      <c r="AS46" s="1082">
        <v>21</v>
      </c>
    </row>
    <row r="47" spans="1:45" s="1569" customFormat="1" ht="0" hidden="1" customHeight="1">
      <c r="A47" s="1270" t="s">
        <v>234</v>
      </c>
      <c r="B47" s="1270" t="s">
        <v>235</v>
      </c>
      <c r="C47" s="1270" t="s">
        <v>236</v>
      </c>
      <c r="D47" s="1270" t="s">
        <v>237</v>
      </c>
      <c r="E47" s="2602"/>
      <c r="F47" s="2602"/>
      <c r="G47" s="2602"/>
      <c r="H47" s="2602"/>
      <c r="I47" s="2603" t="str">
        <f>S46&amp;".1"</f>
        <v>....1</v>
      </c>
      <c r="J47" s="1270"/>
      <c r="K47" s="1270"/>
      <c r="L47" s="1273" t="s">
        <v>483</v>
      </c>
      <c r="M47" s="447"/>
      <c r="N47" s="447"/>
      <c r="O47" s="447"/>
      <c r="P47" s="2605">
        <v>1</v>
      </c>
      <c r="Q47" s="1258"/>
      <c r="R47" s="293"/>
      <c r="S47" s="972"/>
      <c r="T47" s="1310"/>
      <c r="U47" s="1311"/>
      <c r="V47" s="2632"/>
      <c r="W47" s="2633"/>
      <c r="X47" s="2633"/>
      <c r="Y47" s="2633"/>
      <c r="Z47" s="2633"/>
      <c r="AA47" s="2633"/>
      <c r="AB47" s="2633"/>
      <c r="AC47" s="2634"/>
      <c r="AD47" s="2632"/>
      <c r="AE47" s="2633"/>
      <c r="AF47" s="2633"/>
      <c r="AG47" s="2633"/>
      <c r="AH47" s="2633"/>
      <c r="AI47" s="2633"/>
      <c r="AJ47" s="2633"/>
      <c r="AK47" s="2633"/>
      <c r="AL47" s="2634"/>
      <c r="AM47" s="1312"/>
      <c r="AO47" s="437"/>
      <c r="AP47" s="437" t="str">
        <f t="shared" si="1"/>
        <v/>
      </c>
      <c r="AQ47" s="437"/>
      <c r="AR47" s="437"/>
      <c r="AS47" s="448">
        <v>0</v>
      </c>
    </row>
    <row r="48" spans="1:45" ht="21.95" customHeight="1">
      <c r="A48" s="1290" t="s">
        <v>234</v>
      </c>
      <c r="B48" s="1290" t="s">
        <v>235</v>
      </c>
      <c r="C48" s="1290" t="s">
        <v>236</v>
      </c>
      <c r="D48" s="1290" t="s">
        <v>237</v>
      </c>
      <c r="E48" s="2602"/>
      <c r="F48" s="2602"/>
      <c r="G48" s="2602"/>
      <c r="H48" s="2602"/>
      <c r="I48" s="2604"/>
      <c r="J48" s="2603" t="str">
        <f>S46&amp;".1"</f>
        <v>....1</v>
      </c>
      <c r="K48" s="1290"/>
      <c r="L48" s="1291" t="s">
        <v>486</v>
      </c>
      <c r="P48" s="2605"/>
      <c r="Q48" s="2605">
        <v>1</v>
      </c>
      <c r="R48" s="294"/>
      <c r="S48" s="1263" t="str">
        <f>$J48</f>
        <v>....1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437"/>
      <c r="AP48" s="437" t="str">
        <f t="shared" si="1"/>
        <v>Группа потребителей</v>
      </c>
      <c r="AQ48" s="437"/>
      <c r="AR48" s="437"/>
      <c r="AS48" s="1082">
        <v>21</v>
      </c>
    </row>
    <row r="49" spans="1:45" ht="21.95" customHeight="1">
      <c r="A49" s="1290" t="s">
        <v>234</v>
      </c>
      <c r="B49" s="1290" t="s">
        <v>235</v>
      </c>
      <c r="C49" s="1290" t="s">
        <v>236</v>
      </c>
      <c r="D49" s="1290" t="s">
        <v>237</v>
      </c>
      <c r="E49" s="2602"/>
      <c r="F49" s="2602"/>
      <c r="G49" s="2602"/>
      <c r="H49" s="2602"/>
      <c r="I49" s="2604"/>
      <c r="J49" s="2604"/>
      <c r="K49" s="2603" t="str">
        <f>J48&amp;".1"</f>
        <v>....1.1</v>
      </c>
      <c r="L49" s="1291" t="s">
        <v>489</v>
      </c>
      <c r="P49" s="2605"/>
      <c r="Q49" s="2605"/>
      <c r="R49" s="294">
        <v>1</v>
      </c>
      <c r="S49" s="1263" t="str">
        <f>$K49</f>
        <v>....1.1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528</v>
      </c>
      <c r="AN49" s="448" t="e">
        <f ca="1">STRCHECKDATE(V50:AL50)</f>
        <v>#NAME?</v>
      </c>
      <c r="AO49" s="437"/>
      <c r="AP49" s="437" t="str">
        <f t="shared" si="1"/>
        <v/>
      </c>
      <c r="AQ49" s="437"/>
      <c r="AR49" s="437"/>
      <c r="AS49" s="1082">
        <v>21</v>
      </c>
    </row>
    <row r="50" spans="1:45" ht="1.1499999999999999" customHeight="1">
      <c r="A50" s="1290" t="s">
        <v>234</v>
      </c>
      <c r="B50" s="1290" t="s">
        <v>235</v>
      </c>
      <c r="C50" s="1290" t="s">
        <v>236</v>
      </c>
      <c r="D50" s="1290" t="s">
        <v>237</v>
      </c>
      <c r="E50" s="2602"/>
      <c r="F50" s="2602"/>
      <c r="G50" s="2602"/>
      <c r="H50" s="2602"/>
      <c r="I50" s="2604"/>
      <c r="J50" s="2604"/>
      <c r="K50" s="2603"/>
      <c r="L50" s="1291"/>
      <c r="P50" s="2605"/>
      <c r="Q50" s="2605"/>
      <c r="R50" s="294"/>
      <c r="S50" s="1269"/>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437"/>
      <c r="AP50" s="437" t="str">
        <f t="shared" si="1"/>
        <v/>
      </c>
      <c r="AQ50" s="437"/>
      <c r="AR50" s="437"/>
      <c r="AS50" s="1082">
        <v>1</v>
      </c>
    </row>
    <row r="51" spans="1:45" ht="11.45" customHeight="1">
      <c r="A51" s="1290" t="s">
        <v>234</v>
      </c>
      <c r="B51" s="1290" t="s">
        <v>235</v>
      </c>
      <c r="C51" s="1290" t="s">
        <v>236</v>
      </c>
      <c r="D51" s="1290" t="s">
        <v>237</v>
      </c>
      <c r="E51" s="2602"/>
      <c r="F51" s="2602"/>
      <c r="G51" s="2602"/>
      <c r="H51" s="2602"/>
      <c r="I51" s="2604"/>
      <c r="J51" s="2603"/>
      <c r="K51" s="1290"/>
      <c r="L51" s="1291"/>
      <c r="P51" s="2605"/>
      <c r="Q51" s="2605"/>
      <c r="R51" s="293"/>
      <c r="S51" s="1205"/>
      <c r="T51" s="224" t="s">
        <v>491</v>
      </c>
      <c r="U51" s="304"/>
      <c r="V51" s="304"/>
      <c r="W51" s="304"/>
      <c r="X51" s="304"/>
      <c r="Y51" s="304"/>
      <c r="Z51" s="304"/>
      <c r="AA51" s="304"/>
      <c r="AB51" s="304"/>
      <c r="AC51" s="304"/>
      <c r="AD51" s="304"/>
      <c r="AE51" s="304"/>
      <c r="AF51" s="304"/>
      <c r="AG51" s="304"/>
      <c r="AH51" s="304"/>
      <c r="AI51" s="304"/>
      <c r="AJ51" s="304"/>
      <c r="AK51" s="304"/>
      <c r="AL51" s="261"/>
      <c r="AM51" s="2626"/>
      <c r="AO51" s="437"/>
      <c r="AP51" s="437" t="str">
        <f t="shared" si="1"/>
        <v>Добавить вид теплоносителя (параметры теплоносителя)</v>
      </c>
      <c r="AQ51" s="437"/>
      <c r="AR51" s="437"/>
      <c r="AS51" s="1082">
        <v>11</v>
      </c>
    </row>
    <row r="52" spans="1:45" ht="11.45" customHeight="1">
      <c r="A52" s="1290" t="s">
        <v>234</v>
      </c>
      <c r="B52" s="1290" t="s">
        <v>235</v>
      </c>
      <c r="C52" s="1290" t="s">
        <v>236</v>
      </c>
      <c r="D52" s="1290" t="s">
        <v>237</v>
      </c>
      <c r="E52" s="2602"/>
      <c r="F52" s="2602"/>
      <c r="G52" s="2602"/>
      <c r="H52" s="2602"/>
      <c r="I52" s="2603"/>
      <c r="J52" s="1290"/>
      <c r="K52" s="1290"/>
      <c r="L52" s="1291"/>
      <c r="P52" s="2605"/>
      <c r="Q52" s="1258"/>
      <c r="R52" s="293"/>
      <c r="S52" s="1205"/>
      <c r="T52" s="302" t="s">
        <v>492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234</v>
      </c>
      <c r="B53" s="1290" t="s">
        <v>235</v>
      </c>
      <c r="C53" s="1290" t="s">
        <v>236</v>
      </c>
      <c r="D53" s="1290" t="s">
        <v>237</v>
      </c>
      <c r="E53" s="2602"/>
      <c r="F53" s="2602"/>
      <c r="G53" s="2602"/>
      <c r="H53" s="260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234</v>
      </c>
      <c r="B54" s="1270" t="s">
        <v>235</v>
      </c>
      <c r="C54" s="1270" t="s">
        <v>236</v>
      </c>
      <c r="D54" s="1241"/>
      <c r="E54" s="2602"/>
      <c r="F54" s="2602"/>
      <c r="G54" s="2601"/>
      <c r="H54" s="1241"/>
      <c r="I54" s="1241"/>
      <c r="J54" s="1241"/>
      <c r="K54" s="1241"/>
      <c r="L54" s="1266"/>
      <c r="M54" s="1242"/>
      <c r="N54" s="124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234</v>
      </c>
      <c r="B55" s="1270" t="s">
        <v>235</v>
      </c>
      <c r="C55" s="1241"/>
      <c r="D55" s="1241"/>
      <c r="E55" s="2602"/>
      <c r="F55" s="2601"/>
      <c r="G55" s="1241"/>
      <c r="H55" s="1241"/>
      <c r="I55" s="1241"/>
      <c r="J55" s="1241"/>
      <c r="K55" s="1241"/>
      <c r="L55" s="1266"/>
      <c r="M55" s="1248"/>
      <c r="N55" s="124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234</v>
      </c>
      <c r="B56" s="1270"/>
      <c r="C56" s="1270"/>
      <c r="D56" s="1270"/>
      <c r="E56" s="2601"/>
      <c r="F56" s="1270"/>
      <c r="G56" s="1270"/>
      <c r="H56" s="1270"/>
      <c r="I56" s="1270"/>
      <c r="J56" s="1270"/>
      <c r="K56" s="1270"/>
      <c r="L56" s="1273"/>
      <c r="M56" s="1248"/>
      <c r="N56" s="1248"/>
      <c r="O56" s="455"/>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2">
        <v>19</v>
      </c>
    </row>
    <row r="60" spans="1:45" ht="29.25" customHeight="1">
      <c r="O60" s="474"/>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2">
        <v>28</v>
      </c>
    </row>
    <row r="61" spans="1:45" ht="42" customHeight="1">
      <c r="O61" s="474"/>
      <c r="T61" s="2600"/>
      <c r="U61" s="2600"/>
      <c r="V61" s="2600"/>
      <c r="W61" s="2600"/>
      <c r="X61" s="2600"/>
      <c r="Y61" s="2600"/>
      <c r="Z61" s="2600"/>
      <c r="AA61" s="2600"/>
      <c r="AB61" s="2600"/>
      <c r="AC61" s="2600"/>
      <c r="AD61" s="2600"/>
      <c r="AE61" s="2600"/>
      <c r="AF61" s="2600"/>
      <c r="AG61" s="2600"/>
      <c r="AH61" s="2600"/>
      <c r="AI61" s="2600"/>
      <c r="AJ61" s="2600"/>
      <c r="AK61" s="2600"/>
      <c r="AL61" s="2600"/>
      <c r="AM61" s="2600"/>
      <c r="AS61" s="1082">
        <v>40</v>
      </c>
    </row>
    <row r="62" spans="1:45" ht="14.65" customHeight="1">
      <c r="O62" s="474"/>
      <c r="AS62" s="1082">
        <v>14</v>
      </c>
    </row>
    <row r="63" spans="1:45" ht="21" customHeight="1">
      <c r="O63" s="474"/>
      <c r="S63" s="1180"/>
      <c r="T63" s="2501"/>
      <c r="U63" s="2600"/>
      <c r="V63" s="2600"/>
      <c r="W63" s="2600"/>
      <c r="X63" s="2600"/>
      <c r="Y63" s="2600"/>
      <c r="Z63" s="2600"/>
      <c r="AA63" s="2600"/>
      <c r="AB63" s="2600"/>
      <c r="AC63" s="2600"/>
      <c r="AD63" s="2600"/>
      <c r="AE63" s="2600"/>
      <c r="AF63" s="2600"/>
      <c r="AG63" s="2600"/>
      <c r="AH63" s="2600"/>
      <c r="AI63" s="2600"/>
      <c r="AJ63" s="2600"/>
      <c r="AK63" s="2600"/>
      <c r="AL63" s="2600"/>
      <c r="AM63" s="2600"/>
      <c r="AS63" s="1082">
        <v>20</v>
      </c>
    </row>
    <row r="64" spans="1:45" ht="29.25" customHeight="1">
      <c r="O64" s="474"/>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2">
        <v>28</v>
      </c>
    </row>
    <row r="65" spans="1:45" ht="35.65" customHeight="1">
      <c r="T65" s="2600"/>
      <c r="U65" s="2600"/>
      <c r="V65" s="2600"/>
      <c r="W65" s="2600"/>
      <c r="X65" s="2600"/>
      <c r="Y65" s="2600"/>
      <c r="Z65" s="2600"/>
      <c r="AA65" s="2600"/>
      <c r="AB65" s="2600"/>
      <c r="AC65" s="2600"/>
      <c r="AD65" s="2600"/>
      <c r="AE65" s="2600"/>
      <c r="AF65" s="2600"/>
      <c r="AG65" s="2600"/>
      <c r="AH65" s="2600"/>
      <c r="AI65" s="2600"/>
      <c r="AJ65" s="2600"/>
      <c r="AK65" s="2600"/>
      <c r="AL65" s="2600"/>
      <c r="AM65" s="2600"/>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601">
        <v>1</v>
      </c>
      <c r="F2" s="1290"/>
      <c r="G2" s="1290"/>
      <c r="H2" s="1290"/>
      <c r="I2" s="1290"/>
      <c r="J2" s="1290"/>
      <c r="K2" s="1290"/>
      <c r="L2" s="1291"/>
      <c r="M2" s="1292"/>
      <c r="N2" s="1292"/>
      <c r="O2" s="1292"/>
      <c r="P2" s="298"/>
      <c r="Q2" s="297"/>
      <c r="R2" s="292"/>
      <c r="S2" s="1263" t="e">
        <f>INDEX(PT_DIFFERENTIATION_NUM_NTAR,MATCH(A2,PT_DIFFERENTIATION_NTAR_ID,0))</f>
        <v>#N/A</v>
      </c>
      <c r="T2" s="235"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437"/>
      <c r="AP2" s="437" t="str">
        <f t="shared" ref="AP2:AP15" si="0">IF(T2="","",T2)</f>
        <v>Наименование тарифа</v>
      </c>
      <c r="AQ2" s="437"/>
      <c r="AR2" s="437"/>
      <c r="AS2" s="1082">
        <v>0</v>
      </c>
    </row>
    <row r="3" spans="1:45" ht="21" hidden="1" customHeight="1">
      <c r="A3" s="1290"/>
      <c r="B3" s="1290"/>
      <c r="C3" s="1290"/>
      <c r="D3" s="1290"/>
      <c r="E3" s="2602"/>
      <c r="F3" s="2601">
        <v>1</v>
      </c>
      <c r="G3" s="1290"/>
      <c r="H3" s="1290"/>
      <c r="I3" s="1290"/>
      <c r="J3" s="1290"/>
      <c r="K3" s="1290"/>
      <c r="L3" s="1291"/>
      <c r="M3" s="1292"/>
      <c r="N3" s="1292"/>
      <c r="O3" s="1292"/>
      <c r="P3" s="1259"/>
      <c r="Q3" s="289"/>
      <c r="R3" s="290"/>
      <c r="S3" s="1263" t="e">
        <f>INDEX(PT_DIFFERENTIATION_NUM_TER,MATCH(B3,PT_DIFFERENTIATION_TER_ID,0))</f>
        <v>#N/A</v>
      </c>
      <c r="T3" s="245"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437"/>
      <c r="AP3" s="437" t="str">
        <f t="shared" si="0"/>
        <v>Территория действия тарифа</v>
      </c>
      <c r="AQ3" s="437"/>
      <c r="AR3" s="437"/>
      <c r="AS3" s="1082">
        <v>0</v>
      </c>
    </row>
    <row r="4" spans="1:45" ht="23.25" hidden="1" customHeight="1">
      <c r="A4" s="1290"/>
      <c r="B4" s="1290"/>
      <c r="C4" s="1290"/>
      <c r="D4" s="1290"/>
      <c r="E4" s="2602"/>
      <c r="F4" s="2602"/>
      <c r="G4" s="2601">
        <v>1</v>
      </c>
      <c r="H4" s="1290"/>
      <c r="I4" s="1290"/>
      <c r="J4" s="1290"/>
      <c r="K4" s="1290"/>
      <c r="L4" s="1291"/>
      <c r="M4" s="1292"/>
      <c r="N4" s="1292"/>
      <c r="O4" s="1292"/>
      <c r="P4" s="291"/>
      <c r="Q4" s="289"/>
      <c r="R4" s="290"/>
      <c r="S4" s="1931" t="e">
        <f>INDEX(PT_DIFFERENTIATION_NUM_CS,MATCH(C4,PT_DIFFERENTIATION_CS_ID,0))</f>
        <v>#N/A</v>
      </c>
      <c r="T4" s="1935" t="s">
        <v>479</v>
      </c>
      <c r="U4" s="1936"/>
      <c r="V4" s="2637"/>
      <c r="W4" s="2638"/>
      <c r="X4" s="2638"/>
      <c r="Y4" s="2638"/>
      <c r="Z4" s="2638"/>
      <c r="AA4" s="2638"/>
      <c r="AB4" s="2638"/>
      <c r="AC4" s="2639"/>
      <c r="AD4" s="2637" t="e">
        <f>INDEX(PT_DIFFERENTIATION_CS,MATCH(C4,PT_DIFFERENTIATION_CS_ID,0))</f>
        <v>#N/A</v>
      </c>
      <c r="AE4" s="2638"/>
      <c r="AF4" s="2638"/>
      <c r="AG4" s="2638"/>
      <c r="AH4" s="2638"/>
      <c r="AI4" s="2638"/>
      <c r="AJ4" s="2638"/>
      <c r="AK4" s="2638"/>
      <c r="AL4" s="2639"/>
      <c r="AM4" s="1185" t="s">
        <v>480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02"/>
      <c r="F5" s="2602"/>
      <c r="G5" s="2602"/>
      <c r="H5" s="2601">
        <v>1</v>
      </c>
      <c r="I5" s="1290"/>
      <c r="J5" s="1290"/>
      <c r="K5" s="1290"/>
      <c r="L5" s="1291"/>
      <c r="M5" s="1292"/>
      <c r="N5" s="1292"/>
      <c r="O5" s="1292"/>
      <c r="P5" s="291"/>
      <c r="Q5" s="289"/>
      <c r="R5" s="1562"/>
      <c r="S5" s="1930" t="e">
        <f>INDEX(PT_DIFFERENTIATION_NUM_IST_TE,MATCH(D5,PT_DIFFERENTIATION_IST_TE_ID,0))</f>
        <v>#N/A</v>
      </c>
      <c r="T5" s="247" t="s">
        <v>481</v>
      </c>
      <c r="U5" s="237"/>
      <c r="V5" s="2640"/>
      <c r="W5" s="2640"/>
      <c r="X5" s="2640"/>
      <c r="Y5" s="2640"/>
      <c r="Z5" s="2640"/>
      <c r="AA5" s="2640"/>
      <c r="AB5" s="2640"/>
      <c r="AC5" s="2640"/>
      <c r="AD5" s="2640" t="e">
        <f>INDEX(PT_DIFFERENTIATION_IST_TE,MATCH(D5,PT_DIFFERENTIATION_IST_TE_ID,0))</f>
        <v>#N/A</v>
      </c>
      <c r="AE5" s="2640"/>
      <c r="AF5" s="2640"/>
      <c r="AG5" s="2640"/>
      <c r="AH5" s="2640"/>
      <c r="AI5" s="2640"/>
      <c r="AJ5" s="2640"/>
      <c r="AK5" s="2640"/>
      <c r="AL5" s="2640"/>
      <c r="AM5" s="1933" t="s">
        <v>482</v>
      </c>
      <c r="AO5" s="437"/>
      <c r="AP5" s="437" t="str">
        <f t="shared" si="0"/>
        <v xml:space="preserve">Источник тепловой энергии  </v>
      </c>
      <c r="AQ5" s="437"/>
      <c r="AR5" s="437"/>
      <c r="AS5" s="1082">
        <v>0</v>
      </c>
    </row>
    <row r="6" spans="1:45" ht="0.75" hidden="1" customHeight="1">
      <c r="A6" s="1290"/>
      <c r="B6" s="1290"/>
      <c r="C6" s="1290"/>
      <c r="D6" s="1290"/>
      <c r="E6" s="2602"/>
      <c r="F6" s="2602"/>
      <c r="G6" s="2602"/>
      <c r="H6" s="2602"/>
      <c r="I6" s="2603" t="e">
        <f>S5&amp;".1"</f>
        <v>#N/A</v>
      </c>
      <c r="J6" s="1290"/>
      <c r="K6" s="1290"/>
      <c r="L6" s="1291" t="s">
        <v>483</v>
      </c>
      <c r="M6" s="474"/>
      <c r="P6" s="2605">
        <v>1</v>
      </c>
      <c r="Q6" s="1258"/>
      <c r="R6" s="1929"/>
      <c r="S6" s="972"/>
      <c r="T6" s="1310"/>
      <c r="U6" s="1311"/>
      <c r="V6" s="2641"/>
      <c r="W6" s="2641"/>
      <c r="X6" s="2641"/>
      <c r="Y6" s="2641"/>
      <c r="Z6" s="2641"/>
      <c r="AA6" s="2641"/>
      <c r="AB6" s="2641"/>
      <c r="AC6" s="2641"/>
      <c r="AD6" s="2641"/>
      <c r="AE6" s="2641"/>
      <c r="AF6" s="2641"/>
      <c r="AG6" s="2641"/>
      <c r="AH6" s="2641"/>
      <c r="AI6" s="2641"/>
      <c r="AJ6" s="2641"/>
      <c r="AK6" s="2641"/>
      <c r="AL6" s="2641"/>
      <c r="AM6" s="1934"/>
      <c r="AO6" s="437"/>
      <c r="AP6" s="437" t="str">
        <f t="shared" si="0"/>
        <v/>
      </c>
      <c r="AQ6" s="437"/>
      <c r="AR6" s="437"/>
      <c r="AS6" s="1082">
        <v>0</v>
      </c>
    </row>
    <row r="7" spans="1:45" ht="84" hidden="1" customHeight="1">
      <c r="A7" s="1290"/>
      <c r="B7" s="1290"/>
      <c r="C7" s="1290"/>
      <c r="D7" s="1290"/>
      <c r="E7" s="2602"/>
      <c r="F7" s="2602"/>
      <c r="G7" s="2602"/>
      <c r="H7" s="2602"/>
      <c r="I7" s="2604"/>
      <c r="J7" s="2603" t="e">
        <f>I6&amp;".1"</f>
        <v>#N/A</v>
      </c>
      <c r="K7" s="1290"/>
      <c r="L7" s="1291" t="s">
        <v>486</v>
      </c>
      <c r="M7" s="474"/>
      <c r="N7" s="1293"/>
      <c r="P7" s="2605"/>
      <c r="Q7" s="2605">
        <v>1</v>
      </c>
      <c r="R7" s="1569"/>
      <c r="S7" s="1930" t="e">
        <f>$J7</f>
        <v>#N/A</v>
      </c>
      <c r="T7" s="223" t="s">
        <v>487</v>
      </c>
      <c r="U7" s="237"/>
      <c r="V7" s="2635"/>
      <c r="W7" s="2635"/>
      <c r="X7" s="2635"/>
      <c r="Y7" s="2635"/>
      <c r="Z7" s="2635"/>
      <c r="AA7" s="2635"/>
      <c r="AB7" s="2635"/>
      <c r="AC7" s="2635"/>
      <c r="AD7" s="2635"/>
      <c r="AE7" s="2635"/>
      <c r="AF7" s="2635"/>
      <c r="AG7" s="2635"/>
      <c r="AH7" s="2635"/>
      <c r="AI7" s="2635"/>
      <c r="AJ7" s="2635"/>
      <c r="AK7" s="2635"/>
      <c r="AL7" s="2635"/>
      <c r="AM7" s="1933" t="s">
        <v>488</v>
      </c>
      <c r="AO7" s="437"/>
      <c r="AP7" s="437" t="str">
        <f t="shared" si="0"/>
        <v>Группа потребителей</v>
      </c>
      <c r="AQ7" s="437"/>
      <c r="AR7" s="437"/>
      <c r="AS7" s="1082">
        <v>0</v>
      </c>
    </row>
    <row r="8" spans="1:45" ht="11.25" hidden="1" customHeight="1">
      <c r="A8" s="1290"/>
      <c r="B8" s="1290"/>
      <c r="C8" s="1290"/>
      <c r="D8" s="1290"/>
      <c r="E8" s="2602"/>
      <c r="F8" s="2602"/>
      <c r="G8" s="2602"/>
      <c r="H8" s="2602"/>
      <c r="I8" s="2604"/>
      <c r="J8" s="2604"/>
      <c r="K8" s="2603" t="e">
        <f>J7&amp;".1"</f>
        <v>#N/A</v>
      </c>
      <c r="L8" s="1291" t="s">
        <v>489</v>
      </c>
      <c r="M8" s="474"/>
      <c r="N8" s="1293"/>
      <c r="O8" s="1293"/>
      <c r="P8" s="2605"/>
      <c r="Q8" s="2605"/>
      <c r="R8" s="294">
        <v>1</v>
      </c>
      <c r="S8" s="1932" t="e">
        <f>$K8</f>
        <v>#N/A</v>
      </c>
      <c r="T8" s="1937"/>
      <c r="U8" s="1938"/>
      <c r="V8" s="1939"/>
      <c r="W8" s="1276"/>
      <c r="X8" s="1939"/>
      <c r="Y8" s="1940"/>
      <c r="Z8" s="2636"/>
      <c r="AA8" s="2476" t="s">
        <v>66</v>
      </c>
      <c r="AB8" s="2636"/>
      <c r="AC8" s="2476" t="s">
        <v>66</v>
      </c>
      <c r="AD8" s="1939"/>
      <c r="AE8" s="1276"/>
      <c r="AF8" s="1939"/>
      <c r="AG8" s="1940"/>
      <c r="AH8" s="2636"/>
      <c r="AI8" s="2476" t="s">
        <v>66</v>
      </c>
      <c r="AJ8" s="2636"/>
      <c r="AK8" s="2476" t="s">
        <v>66</v>
      </c>
      <c r="AL8" s="1276"/>
      <c r="AM8" s="2624" t="s">
        <v>490</v>
      </c>
      <c r="AN8" s="448" t="e">
        <f ca="1">STRCHECKDATE(V9:AL9)</f>
        <v>#NAME?</v>
      </c>
      <c r="AO8" s="437"/>
      <c r="AP8" s="437" t="str">
        <f t="shared" si="0"/>
        <v/>
      </c>
      <c r="AQ8" s="437"/>
      <c r="AR8" s="437"/>
      <c r="AS8" s="1082">
        <v>0</v>
      </c>
    </row>
    <row r="9" spans="1:45" ht="0.75" hidden="1" customHeight="1">
      <c r="A9" s="1290"/>
      <c r="B9" s="1290"/>
      <c r="C9" s="1290"/>
      <c r="D9" s="1290"/>
      <c r="E9" s="2602"/>
      <c r="F9" s="2602"/>
      <c r="G9" s="2602"/>
      <c r="H9" s="2602"/>
      <c r="I9" s="2604"/>
      <c r="J9" s="2604"/>
      <c r="K9" s="2603"/>
      <c r="L9" s="1291"/>
      <c r="M9" s="474"/>
      <c r="N9" s="1293"/>
      <c r="O9" s="1293"/>
      <c r="P9" s="2605"/>
      <c r="Q9" s="2605"/>
      <c r="R9" s="294"/>
      <c r="S9" s="1269"/>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437"/>
      <c r="AP9" s="437" t="str">
        <f t="shared" si="0"/>
        <v/>
      </c>
      <c r="AQ9" s="437"/>
      <c r="AR9" s="437"/>
      <c r="AS9" s="1082">
        <v>0</v>
      </c>
    </row>
    <row r="10" spans="1:45" ht="11.25" hidden="1" customHeight="1">
      <c r="A10" s="1290"/>
      <c r="B10" s="1290"/>
      <c r="C10" s="1290"/>
      <c r="D10" s="1290"/>
      <c r="E10" s="2602"/>
      <c r="F10" s="2602"/>
      <c r="G10" s="2602"/>
      <c r="H10" s="2602"/>
      <c r="I10" s="2604"/>
      <c r="J10" s="2603"/>
      <c r="K10" s="1290"/>
      <c r="L10" s="1291"/>
      <c r="M10" s="474"/>
      <c r="N10" s="1293"/>
      <c r="P10" s="2605"/>
      <c r="Q10" s="2605"/>
      <c r="R10" s="293"/>
      <c r="S10" s="1205"/>
      <c r="T10" s="224" t="s">
        <v>491</v>
      </c>
      <c r="U10" s="304"/>
      <c r="V10" s="304"/>
      <c r="W10" s="304"/>
      <c r="X10" s="304"/>
      <c r="Y10" s="304"/>
      <c r="Z10" s="304"/>
      <c r="AA10" s="304"/>
      <c r="AB10" s="304"/>
      <c r="AC10" s="304"/>
      <c r="AD10" s="304"/>
      <c r="AE10" s="304"/>
      <c r="AF10" s="304"/>
      <c r="AG10" s="304"/>
      <c r="AH10" s="304"/>
      <c r="AI10" s="304"/>
      <c r="AJ10" s="304"/>
      <c r="AK10" s="304"/>
      <c r="AL10" s="261"/>
      <c r="AM10" s="262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602"/>
      <c r="F11" s="2602"/>
      <c r="G11" s="2602"/>
      <c r="H11" s="2602"/>
      <c r="I11" s="2603"/>
      <c r="J11" s="1290"/>
      <c r="K11" s="1290"/>
      <c r="L11" s="1291"/>
      <c r="M11" s="474"/>
      <c r="P11" s="2605"/>
      <c r="Q11" s="1258"/>
      <c r="R11" s="293"/>
      <c r="S11" s="1205"/>
      <c r="T11" s="302" t="s">
        <v>492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602"/>
      <c r="F12" s="2602"/>
      <c r="G12" s="2602"/>
      <c r="H12" s="260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602"/>
      <c r="F13" s="2602"/>
      <c r="G13" s="2601"/>
      <c r="H13" s="1241"/>
      <c r="I13" s="1241"/>
      <c r="J13" s="1241"/>
      <c r="K13" s="1241"/>
      <c r="L13" s="1266"/>
      <c r="M13" s="1242"/>
      <c r="N13" s="124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602"/>
      <c r="F14" s="2601"/>
      <c r="G14" s="1241"/>
      <c r="H14" s="1241"/>
      <c r="I14" s="1241"/>
      <c r="J14" s="1241"/>
      <c r="K14" s="1241"/>
      <c r="L14" s="1266"/>
      <c r="M14" s="1248"/>
      <c r="N14" s="124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601"/>
      <c r="F15" s="1241"/>
      <c r="G15" s="1241"/>
      <c r="H15" s="1241"/>
      <c r="I15" s="1241"/>
      <c r="J15" s="1241"/>
      <c r="K15" s="1241"/>
      <c r="L15" s="1266"/>
      <c r="M15" s="1248"/>
      <c r="N15" s="124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99"/>
      <c r="AI17" s="2598" t="s">
        <v>66</v>
      </c>
      <c r="AJ17" s="2599"/>
      <c r="AK17" s="2598" t="s">
        <v>66</v>
      </c>
      <c r="AS17" s="1082">
        <v>0</v>
      </c>
    </row>
    <row r="18" spans="1:45" ht="14.25" hidden="1" customHeight="1">
      <c r="AD18" s="1287"/>
      <c r="AE18" s="1287"/>
      <c r="AF18" s="1287"/>
      <c r="AG18" s="265" t="str">
        <f>AH17&amp;"-"&amp;AJ17</f>
        <v>-</v>
      </c>
      <c r="AH18" s="2598"/>
      <c r="AI18" s="2598"/>
      <c r="AJ18" s="2598"/>
      <c r="AK18" s="2598"/>
      <c r="AS18" s="1082">
        <v>0</v>
      </c>
    </row>
    <row r="19" spans="1:45" ht="14.25" hidden="1" customHeight="1">
      <c r="AK19" s="264"/>
      <c r="AS19" s="1082">
        <v>0</v>
      </c>
    </row>
    <row r="20" spans="1:45" s="1293" customFormat="1" ht="22.5" hidden="1" customHeight="1">
      <c r="L20" s="1256"/>
      <c r="M20" s="1289"/>
      <c r="N20" s="1289"/>
      <c r="O20" s="1294" t="s">
        <v>495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496</v>
      </c>
      <c r="P22" s="1289"/>
      <c r="Q22" s="1298"/>
      <c r="R22" s="1298"/>
      <c r="S22" s="666"/>
      <c r="T22" s="1087" t="s">
        <v>497</v>
      </c>
      <c r="AA22" s="123" t="s">
        <v>498</v>
      </c>
      <c r="AC22" s="123" t="s">
        <v>499</v>
      </c>
      <c r="AD22" s="1087" t="s">
        <v>497</v>
      </c>
      <c r="AI22" s="123" t="s">
        <v>500</v>
      </c>
      <c r="AK22" s="123" t="s">
        <v>499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53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4"/>
      <c r="U26" s="2534"/>
      <c r="V26" s="2534"/>
      <c r="W26" s="2534"/>
      <c r="X26" s="2534"/>
      <c r="Y26" s="2534"/>
      <c r="Z26" s="2534"/>
      <c r="AA26" s="2534"/>
      <c r="AB26" s="2534"/>
      <c r="AC26" s="2534"/>
      <c r="AD26" s="2534"/>
      <c r="AE26" s="2534"/>
      <c r="AF26" s="2534"/>
      <c r="AG26" s="2534"/>
      <c r="AH26" s="2534"/>
      <c r="AI26" s="2534"/>
      <c r="AJ26" s="2534"/>
      <c r="AK26" s="1170"/>
      <c r="AS26" s="1082">
        <v>52</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263"/>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92" t="s">
        <v>501</v>
      </c>
      <c r="T30" s="2592"/>
      <c r="U30" s="1299"/>
      <c r="V30" s="2593">
        <f>IF(TITLE_DATE_PR_CHANGE="",IF(TITLE_DATE_PR="","",TITLE_DATE_PR),TITLE_DATE_PR_CHANGE)</f>
        <v>45596.468541666669</v>
      </c>
      <c r="W30" s="2593"/>
      <c r="X30" s="2593"/>
      <c r="Y30" s="2593"/>
      <c r="Z30" s="2593"/>
      <c r="AA30" s="2593"/>
      <c r="AB30" s="2593"/>
      <c r="AC30" s="263"/>
      <c r="AD30" s="2593">
        <f>IF(TITLE_DATE_PR_CHANGE="",IF(TITLE_DATE_PR="","",TITLE_DATE_PR),TITLE_DATE_PR_CHANGE)</f>
        <v>45596.468541666669</v>
      </c>
      <c r="AE30" s="2593"/>
      <c r="AF30" s="2593"/>
      <c r="AG30" s="2593"/>
      <c r="AH30" s="2593"/>
      <c r="AI30" s="2593"/>
      <c r="AJ30" s="2593"/>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92" t="s">
        <v>502</v>
      </c>
      <c r="T31" s="2592"/>
      <c r="U31" s="1299"/>
      <c r="V31" s="2594" t="str">
        <f>IF(TITLE_NUMBER_PR_CHANGE="",IF(TITLE_NUMBER_PR="","",TITLE_NUMBER_PR),TITLE_NUMBER_PR_CHANGE)</f>
        <v>440,503</v>
      </c>
      <c r="W31" s="2594"/>
      <c r="X31" s="2594"/>
      <c r="Y31" s="2594"/>
      <c r="Z31" s="2594"/>
      <c r="AA31" s="2594"/>
      <c r="AB31" s="2594"/>
      <c r="AC31" s="263"/>
      <c r="AD31" s="2594" t="str">
        <f>IF(TITLE_NUMBER_PR_CHANGE="",IF(TITLE_NUMBER_PR="","",TITLE_NUMBER_PR),TITLE_NUMBER_PR_CHANGE)</f>
        <v>440,503</v>
      </c>
      <c r="AE31" s="2594"/>
      <c r="AF31" s="2594"/>
      <c r="AG31" s="2594"/>
      <c r="AH31" s="2594"/>
      <c r="AI31" s="2594"/>
      <c r="AJ31" s="2594"/>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263"/>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92" t="s">
        <v>503</v>
      </c>
      <c r="T34" s="2592"/>
      <c r="U34" s="1299"/>
      <c r="V34" s="2593">
        <f>IF(TITLE_DATE_PR_CHANGE="",IF(TITLE_DATE_PR="","",TITLE_DATE_PR),TITLE_DATE_PR_CHANGE)</f>
        <v>45596.468541666669</v>
      </c>
      <c r="W34" s="2593"/>
      <c r="X34" s="2593"/>
      <c r="Y34" s="2593"/>
      <c r="Z34" s="2593"/>
      <c r="AA34" s="2593"/>
      <c r="AB34" s="2593"/>
      <c r="AC34" s="263"/>
      <c r="AD34" s="2593">
        <f>IF(TITLE_DATE_PR_CHANGE="",IF(TITLE_DATE_PR="","",TITLE_DATE_PR),TITLE_DATE_PR_CHANGE)</f>
        <v>45596.468541666669</v>
      </c>
      <c r="AE34" s="2593"/>
      <c r="AF34" s="2593"/>
      <c r="AG34" s="2593"/>
      <c r="AH34" s="2593"/>
      <c r="AI34" s="2593"/>
      <c r="AJ34" s="259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92" t="s">
        <v>504</v>
      </c>
      <c r="T35" s="2592"/>
      <c r="U35" s="1299"/>
      <c r="V35" s="2594" t="str">
        <f>IF(TITLE_NUMBER_PR_CHANGE="",IF(TITLE_NUMBER_PR="","",TITLE_NUMBER_PR),TITLE_NUMBER_PR_CHANGE)</f>
        <v>440,503</v>
      </c>
      <c r="W35" s="2594"/>
      <c r="X35" s="2594"/>
      <c r="Y35" s="2594"/>
      <c r="Z35" s="2594"/>
      <c r="AA35" s="2594"/>
      <c r="AB35" s="2594"/>
      <c r="AC35" s="263"/>
      <c r="AD35" s="2594" t="str">
        <f>IF(TITLE_NUMBER_PR_CHANGE="",IF(TITLE_NUMBER_PR="","",TITLE_NUMBER_PR),TITLE_NUMBER_PR_CHANGE)</f>
        <v>440,503</v>
      </c>
      <c r="AE35" s="2594"/>
      <c r="AF35" s="2594"/>
      <c r="AG35" s="2594"/>
      <c r="AH35" s="2594"/>
      <c r="AI35" s="2594"/>
      <c r="AJ35" s="259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505</v>
      </c>
      <c r="AD36" s="263"/>
      <c r="AE36" s="263"/>
      <c r="AF36" s="263"/>
      <c r="AG36" s="263"/>
      <c r="AH36" s="263"/>
      <c r="AI36" s="263"/>
      <c r="AJ36" s="263"/>
      <c r="AK36" s="215" t="s">
        <v>505</v>
      </c>
      <c r="AN36" s="305"/>
      <c r="AO36" s="305"/>
      <c r="AP36" s="305"/>
      <c r="AQ36" s="305"/>
      <c r="AR36" s="305"/>
      <c r="AS36" s="355">
        <v>0</v>
      </c>
    </row>
    <row r="37" spans="1:45" ht="14.65" customHeight="1">
      <c r="Q37" s="313"/>
      <c r="R37" s="313"/>
      <c r="S37" s="1202"/>
      <c r="T37" s="300"/>
      <c r="U37" s="1171"/>
      <c r="V37" s="2613"/>
      <c r="W37" s="2613"/>
      <c r="X37" s="2613"/>
      <c r="Y37" s="2613"/>
      <c r="Z37" s="2613"/>
      <c r="AA37" s="2613"/>
      <c r="AB37" s="2613"/>
      <c r="AC37" s="2613"/>
      <c r="AD37" s="2613"/>
      <c r="AE37" s="2613"/>
      <c r="AF37" s="2613"/>
      <c r="AG37" s="2613"/>
      <c r="AH37" s="2613"/>
      <c r="AI37" s="2613"/>
      <c r="AJ37" s="2613"/>
      <c r="AK37" s="2613"/>
      <c r="AS37" s="1082">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082">
        <v>14</v>
      </c>
    </row>
    <row r="39" spans="1:45" ht="14.65" customHeight="1">
      <c r="Q39" s="313"/>
      <c r="R39" s="313"/>
      <c r="S39" s="2614" t="s">
        <v>88</v>
      </c>
      <c r="T39" s="2563" t="s">
        <v>506</v>
      </c>
      <c r="U39" s="238"/>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082">
        <v>14</v>
      </c>
    </row>
    <row r="40" spans="1:45" ht="35.65" customHeight="1">
      <c r="Q40" s="313"/>
      <c r="R40" s="313"/>
      <c r="S40" s="2614"/>
      <c r="T40" s="2563"/>
      <c r="U40" s="961"/>
      <c r="V40" s="2535" t="s">
        <v>511</v>
      </c>
      <c r="W40" s="2610"/>
      <c r="X40" s="2442" t="s">
        <v>513</v>
      </c>
      <c r="Y40" s="2441"/>
      <c r="Z40" s="2442" t="s">
        <v>514</v>
      </c>
      <c r="AA40" s="2448"/>
      <c r="AB40" s="2441"/>
      <c r="AC40" s="2619"/>
      <c r="AD40" s="2535" t="s">
        <v>527</v>
      </c>
      <c r="AE40" s="2610"/>
      <c r="AF40" s="2442" t="s">
        <v>513</v>
      </c>
      <c r="AG40" s="2441"/>
      <c r="AH40" s="2442" t="s">
        <v>514</v>
      </c>
      <c r="AI40" s="2448"/>
      <c r="AJ40" s="2441"/>
      <c r="AK40" s="2619"/>
      <c r="AL40" s="2622"/>
      <c r="AM40" s="2461"/>
      <c r="AS40" s="1082">
        <v>34</v>
      </c>
    </row>
    <row r="41" spans="1:45" ht="35.65" customHeight="1">
      <c r="A41" s="1297"/>
      <c r="B41" s="1297" t="s">
        <v>201</v>
      </c>
      <c r="C41" s="1297" t="s">
        <v>202</v>
      </c>
      <c r="D41" s="1297" t="s">
        <v>203</v>
      </c>
      <c r="E41" s="1291" t="s">
        <v>515</v>
      </c>
      <c r="F41" s="1291" t="s">
        <v>516</v>
      </c>
      <c r="G41" s="1291" t="s">
        <v>517</v>
      </c>
      <c r="H41" s="1291" t="s">
        <v>518</v>
      </c>
      <c r="I41" s="1291" t="s">
        <v>519</v>
      </c>
      <c r="J41" s="1291" t="s">
        <v>520</v>
      </c>
      <c r="K41" s="1291" t="s">
        <v>521</v>
      </c>
      <c r="L41" s="1291" t="s">
        <v>496</v>
      </c>
      <c r="Q41" s="313"/>
      <c r="R41" s="313"/>
      <c r="S41" s="2614"/>
      <c r="T41" s="2563"/>
      <c r="U41" s="239"/>
      <c r="V41" s="2587"/>
      <c r="W41" s="2611"/>
      <c r="X41" s="1149" t="s">
        <v>522</v>
      </c>
      <c r="Y41" s="1149" t="s">
        <v>523</v>
      </c>
      <c r="Z41" s="1265" t="s">
        <v>524</v>
      </c>
      <c r="AA41" s="2568" t="s">
        <v>525</v>
      </c>
      <c r="AB41" s="2581"/>
      <c r="AC41" s="2620"/>
      <c r="AD41" s="2587"/>
      <c r="AE41" s="2611"/>
      <c r="AF41" s="1149" t="s">
        <v>522</v>
      </c>
      <c r="AG41" s="1149" t="s">
        <v>523</v>
      </c>
      <c r="AH41" s="1265" t="s">
        <v>524</v>
      </c>
      <c r="AI41" s="2568" t="s">
        <v>525</v>
      </c>
      <c r="AJ41" s="2581"/>
      <c r="AK41" s="2620"/>
      <c r="AL41" s="2623"/>
      <c r="AM41" s="246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177</v>
      </c>
      <c r="T42" s="1182" t="s">
        <v>102</v>
      </c>
      <c r="U42" s="1172" t="str">
        <f ca="1">OFFSET(U42,0,-1)</f>
        <v>2</v>
      </c>
      <c r="V42" s="1262">
        <f ca="1">OFFSET(V42,0,-1)+1</f>
        <v>3</v>
      </c>
      <c r="W42" s="1262"/>
      <c r="X42" s="1262">
        <f ca="1">OFFSET(X42,0,-1)+1</f>
        <v>1</v>
      </c>
      <c r="Y42" s="1262">
        <f ca="1">OFFSET(Y42,0,-1)+1</f>
        <v>2</v>
      </c>
      <c r="Z42" s="1262">
        <f ca="1">OFFSET(Z42,0,-1)+1</f>
        <v>3</v>
      </c>
      <c r="AA42" s="2612">
        <f ca="1">OFFSET(AA42,0,-1)+1</f>
        <v>4</v>
      </c>
      <c r="AB42" s="2612"/>
      <c r="AC42" s="1262">
        <f ca="1">OFFSET(AC42,0,-2)+1</f>
        <v>5</v>
      </c>
      <c r="AD42" s="1262">
        <f ca="1">OFFSET(AD42,0,-1)+1</f>
        <v>6</v>
      </c>
      <c r="AE42" s="1262"/>
      <c r="AF42" s="1262">
        <f ca="1">OFFSET(AF42,0,-1)+1</f>
        <v>1</v>
      </c>
      <c r="AG42" s="1262">
        <f ca="1">OFFSET(AG42,0,-1)+1</f>
        <v>2</v>
      </c>
      <c r="AH42" s="1262">
        <f ca="1">OFFSET(AH42,0,-1)+1</f>
        <v>3</v>
      </c>
      <c r="AI42" s="2612">
        <f ca="1">OFFSET(AI42,0,-1)+1</f>
        <v>4</v>
      </c>
      <c r="AJ42" s="2612"/>
      <c r="AK42" s="1262">
        <f ca="1">OFFSET(AK42,0,-2)+1</f>
        <v>5</v>
      </c>
      <c r="AL42" s="1172">
        <f ca="1">OFFSET(AL42,0,-1)</f>
        <v>5</v>
      </c>
      <c r="AM42" s="1262">
        <f ca="1">OFFSET(AM42,0,-1)+1</f>
        <v>6</v>
      </c>
      <c r="AN42" s="448"/>
      <c r="AO42" s="448"/>
      <c r="AP42" s="448"/>
      <c r="AQ42" s="448"/>
      <c r="AR42" s="448"/>
      <c r="AS42" s="433">
        <v>0</v>
      </c>
    </row>
    <row r="43" spans="1:45" ht="21.95" customHeight="1">
      <c r="A43" s="1290" t="s">
        <v>246</v>
      </c>
      <c r="B43" s="1290"/>
      <c r="C43" s="1290"/>
      <c r="D43" s="1290"/>
      <c r="E43" s="260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246</v>
      </c>
      <c r="B44" s="1290" t="s">
        <v>247</v>
      </c>
      <c r="C44" s="1290"/>
      <c r="D44" s="1290"/>
      <c r="E44" s="2602"/>
      <c r="F44" s="2601">
        <v>1</v>
      </c>
      <c r="G44" s="1290"/>
      <c r="H44" s="1290"/>
      <c r="I44" s="1290"/>
      <c r="J44" s="1290"/>
      <c r="K44" s="1290"/>
      <c r="L44" s="1291"/>
      <c r="M44" s="1292"/>
      <c r="N44" s="1292"/>
      <c r="O44" s="1292"/>
      <c r="P44" s="1259"/>
      <c r="Q44" s="289"/>
      <c r="R44" s="290"/>
      <c r="S44" s="1263" t="str">
        <f>INDEX(PT_DIFFERENTIATION_NUM_TER,MATCH(B44,PT_DIFFERENTIATION_TER_ID,0))</f>
        <v>.</v>
      </c>
      <c r="T44" s="245"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437"/>
      <c r="AP44" s="437" t="str">
        <f t="shared" si="1"/>
        <v>Территория действия тарифа</v>
      </c>
      <c r="AQ44" s="437"/>
      <c r="AR44" s="437"/>
      <c r="AS44" s="1082">
        <v>21</v>
      </c>
    </row>
    <row r="45" spans="1:45" ht="24" customHeight="1">
      <c r="A45" s="1290" t="s">
        <v>246</v>
      </c>
      <c r="B45" s="1290" t="s">
        <v>247</v>
      </c>
      <c r="C45" s="1290" t="s">
        <v>248</v>
      </c>
      <c r="D45" s="1290"/>
      <c r="E45" s="2602"/>
      <c r="F45" s="2602"/>
      <c r="G45" s="2601">
        <v>1</v>
      </c>
      <c r="H45" s="1290"/>
      <c r="I45" s="1290"/>
      <c r="J45" s="1290"/>
      <c r="K45" s="1290"/>
      <c r="L45" s="1291"/>
      <c r="M45" s="1292"/>
      <c r="N45" s="1292"/>
      <c r="O45" s="1292"/>
      <c r="P45" s="291"/>
      <c r="Q45" s="289"/>
      <c r="R45" s="290"/>
      <c r="S45" s="1263"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437"/>
      <c r="AP45" s="437" t="str">
        <f t="shared" si="1"/>
        <v xml:space="preserve">Наименование системы теплоснабжения </v>
      </c>
      <c r="AQ45" s="437"/>
      <c r="AR45" s="437"/>
      <c r="AS45" s="1082">
        <v>23</v>
      </c>
    </row>
    <row r="46" spans="1:45" ht="21.95" customHeight="1">
      <c r="A46" s="1290" t="s">
        <v>246</v>
      </c>
      <c r="B46" s="1290" t="s">
        <v>247</v>
      </c>
      <c r="C46" s="1290" t="s">
        <v>248</v>
      </c>
      <c r="D46" s="1290" t="s">
        <v>249</v>
      </c>
      <c r="E46" s="2602"/>
      <c r="F46" s="2602"/>
      <c r="G46" s="2602"/>
      <c r="H46" s="2601">
        <v>1</v>
      </c>
      <c r="I46" s="1290"/>
      <c r="J46" s="1290"/>
      <c r="K46" s="1290"/>
      <c r="L46" s="1291"/>
      <c r="M46" s="1292"/>
      <c r="N46" s="1292"/>
      <c r="O46" s="1292"/>
      <c r="P46" s="291"/>
      <c r="Q46" s="289"/>
      <c r="R46" s="290"/>
      <c r="S46" s="1263"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437"/>
      <c r="AP46" s="437" t="str">
        <f t="shared" si="1"/>
        <v xml:space="preserve">Источник тепловой энергии  </v>
      </c>
      <c r="AQ46" s="437"/>
      <c r="AR46" s="437"/>
      <c r="AS46" s="1082">
        <v>21</v>
      </c>
    </row>
    <row r="47" spans="1:45" s="1569" customFormat="1" ht="0" hidden="1" customHeight="1">
      <c r="A47" s="1270" t="s">
        <v>246</v>
      </c>
      <c r="B47" s="1270" t="s">
        <v>247</v>
      </c>
      <c r="C47" s="1270" t="s">
        <v>248</v>
      </c>
      <c r="D47" s="1270" t="s">
        <v>249</v>
      </c>
      <c r="E47" s="2602"/>
      <c r="F47" s="2602"/>
      <c r="G47" s="2602"/>
      <c r="H47" s="2602"/>
      <c r="I47" s="2603" t="str">
        <f>S46&amp;".1"</f>
        <v>....1</v>
      </c>
      <c r="J47" s="1270"/>
      <c r="K47" s="1270"/>
      <c r="L47" s="1273" t="s">
        <v>483</v>
      </c>
      <c r="M47" s="447"/>
      <c r="N47" s="447"/>
      <c r="O47" s="447"/>
      <c r="P47" s="2605">
        <v>1</v>
      </c>
      <c r="Q47" s="1258"/>
      <c r="R47" s="293"/>
      <c r="S47" s="972"/>
      <c r="T47" s="1310"/>
      <c r="U47" s="1311"/>
      <c r="V47" s="2632"/>
      <c r="W47" s="2633"/>
      <c r="X47" s="2633"/>
      <c r="Y47" s="2633"/>
      <c r="Z47" s="2633"/>
      <c r="AA47" s="2633"/>
      <c r="AB47" s="2633"/>
      <c r="AC47" s="2634"/>
      <c r="AD47" s="2632"/>
      <c r="AE47" s="2633"/>
      <c r="AF47" s="2633"/>
      <c r="AG47" s="2633"/>
      <c r="AH47" s="2633"/>
      <c r="AI47" s="2633"/>
      <c r="AJ47" s="2633"/>
      <c r="AK47" s="2633"/>
      <c r="AL47" s="2634"/>
      <c r="AM47" s="1312"/>
      <c r="AO47" s="437"/>
      <c r="AP47" s="437" t="str">
        <f t="shared" si="1"/>
        <v/>
      </c>
      <c r="AQ47" s="437"/>
      <c r="AR47" s="437"/>
      <c r="AS47" s="448">
        <v>0</v>
      </c>
    </row>
    <row r="48" spans="1:45" ht="21.95" customHeight="1">
      <c r="A48" s="1290" t="s">
        <v>246</v>
      </c>
      <c r="B48" s="1290" t="s">
        <v>247</v>
      </c>
      <c r="C48" s="1290" t="s">
        <v>248</v>
      </c>
      <c r="D48" s="1290" t="s">
        <v>249</v>
      </c>
      <c r="E48" s="2602"/>
      <c r="F48" s="2602"/>
      <c r="G48" s="2602"/>
      <c r="H48" s="2602"/>
      <c r="I48" s="2604"/>
      <c r="J48" s="2603" t="str">
        <f>S46&amp;".1"</f>
        <v>....1</v>
      </c>
      <c r="K48" s="1290"/>
      <c r="L48" s="1291" t="s">
        <v>486</v>
      </c>
      <c r="P48" s="2605"/>
      <c r="Q48" s="2605">
        <v>1</v>
      </c>
      <c r="R48" s="294"/>
      <c r="S48" s="1263" t="str">
        <f>$J48</f>
        <v>....1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437"/>
      <c r="AP48" s="437" t="str">
        <f t="shared" si="1"/>
        <v>Группа потребителей</v>
      </c>
      <c r="AQ48" s="437"/>
      <c r="AR48" s="437"/>
      <c r="AS48" s="1082">
        <v>21</v>
      </c>
    </row>
    <row r="49" spans="1:45" ht="21.95" customHeight="1">
      <c r="A49" s="1290" t="s">
        <v>246</v>
      </c>
      <c r="B49" s="1290" t="s">
        <v>247</v>
      </c>
      <c r="C49" s="1290" t="s">
        <v>248</v>
      </c>
      <c r="D49" s="1290" t="s">
        <v>249</v>
      </c>
      <c r="E49" s="2602"/>
      <c r="F49" s="2602"/>
      <c r="G49" s="2602"/>
      <c r="H49" s="2602"/>
      <c r="I49" s="2604"/>
      <c r="J49" s="2604"/>
      <c r="K49" s="2603" t="str">
        <f>J48&amp;".1"</f>
        <v>....1.1</v>
      </c>
      <c r="L49" s="1291" t="s">
        <v>489</v>
      </c>
      <c r="P49" s="2605"/>
      <c r="Q49" s="2605"/>
      <c r="R49" s="294">
        <v>1</v>
      </c>
      <c r="S49" s="1263" t="str">
        <f>$K49</f>
        <v>....1.1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528</v>
      </c>
      <c r="AN49" s="448" t="e">
        <f ca="1">STRCHECKDATE(V50:AL50)</f>
        <v>#NAME?</v>
      </c>
      <c r="AO49" s="437"/>
      <c r="AP49" s="437" t="str">
        <f t="shared" si="1"/>
        <v/>
      </c>
      <c r="AQ49" s="437"/>
      <c r="AR49" s="437"/>
      <c r="AS49" s="1082">
        <v>21</v>
      </c>
    </row>
    <row r="50" spans="1:45" ht="1.1499999999999999" customHeight="1">
      <c r="A50" s="1290" t="s">
        <v>246</v>
      </c>
      <c r="B50" s="1290" t="s">
        <v>247</v>
      </c>
      <c r="C50" s="1290" t="s">
        <v>248</v>
      </c>
      <c r="D50" s="1290" t="s">
        <v>249</v>
      </c>
      <c r="E50" s="2602"/>
      <c r="F50" s="2602"/>
      <c r="G50" s="2602"/>
      <c r="H50" s="2602"/>
      <c r="I50" s="2604"/>
      <c r="J50" s="2604"/>
      <c r="K50" s="2603"/>
      <c r="L50" s="1291"/>
      <c r="P50" s="2605"/>
      <c r="Q50" s="2605"/>
      <c r="R50" s="294"/>
      <c r="S50" s="1269"/>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437"/>
      <c r="AP50" s="437" t="str">
        <f t="shared" si="1"/>
        <v/>
      </c>
      <c r="AQ50" s="437"/>
      <c r="AR50" s="437"/>
      <c r="AS50" s="1082">
        <v>1</v>
      </c>
    </row>
    <row r="51" spans="1:45" ht="11.45" customHeight="1">
      <c r="A51" s="1290" t="s">
        <v>246</v>
      </c>
      <c r="B51" s="1290" t="s">
        <v>247</v>
      </c>
      <c r="C51" s="1290" t="s">
        <v>248</v>
      </c>
      <c r="D51" s="1290" t="s">
        <v>249</v>
      </c>
      <c r="E51" s="2602"/>
      <c r="F51" s="2602"/>
      <c r="G51" s="2602"/>
      <c r="H51" s="2602"/>
      <c r="I51" s="2604"/>
      <c r="J51" s="2603"/>
      <c r="K51" s="1290"/>
      <c r="L51" s="1291"/>
      <c r="P51" s="2605"/>
      <c r="Q51" s="2605"/>
      <c r="R51" s="293"/>
      <c r="S51" s="1205"/>
      <c r="T51" s="224" t="s">
        <v>491</v>
      </c>
      <c r="U51" s="304"/>
      <c r="V51" s="304"/>
      <c r="W51" s="304"/>
      <c r="X51" s="304"/>
      <c r="Y51" s="304"/>
      <c r="Z51" s="304"/>
      <c r="AA51" s="304"/>
      <c r="AB51" s="304"/>
      <c r="AC51" s="304"/>
      <c r="AD51" s="304"/>
      <c r="AE51" s="304"/>
      <c r="AF51" s="304"/>
      <c r="AG51" s="304"/>
      <c r="AH51" s="304"/>
      <c r="AI51" s="304"/>
      <c r="AJ51" s="304"/>
      <c r="AK51" s="304"/>
      <c r="AL51" s="261"/>
      <c r="AM51" s="2626"/>
      <c r="AO51" s="437"/>
      <c r="AP51" s="437" t="str">
        <f t="shared" si="1"/>
        <v>Добавить вид теплоносителя (параметры теплоносителя)</v>
      </c>
      <c r="AQ51" s="437"/>
      <c r="AR51" s="437"/>
      <c r="AS51" s="1082">
        <v>11</v>
      </c>
    </row>
    <row r="52" spans="1:45" ht="11.45" customHeight="1">
      <c r="A52" s="1290" t="s">
        <v>246</v>
      </c>
      <c r="B52" s="1290" t="s">
        <v>247</v>
      </c>
      <c r="C52" s="1290" t="s">
        <v>248</v>
      </c>
      <c r="D52" s="1290" t="s">
        <v>249</v>
      </c>
      <c r="E52" s="2602"/>
      <c r="F52" s="2602"/>
      <c r="G52" s="2602"/>
      <c r="H52" s="2602"/>
      <c r="I52" s="2603"/>
      <c r="J52" s="1290"/>
      <c r="K52" s="1290"/>
      <c r="L52" s="1291"/>
      <c r="P52" s="2605"/>
      <c r="Q52" s="1258"/>
      <c r="R52" s="293"/>
      <c r="S52" s="1205"/>
      <c r="T52" s="302" t="s">
        <v>492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246</v>
      </c>
      <c r="B53" s="1290" t="s">
        <v>247</v>
      </c>
      <c r="C53" s="1290" t="s">
        <v>248</v>
      </c>
      <c r="D53" s="1290" t="s">
        <v>249</v>
      </c>
      <c r="E53" s="2602"/>
      <c r="F53" s="2602"/>
      <c r="G53" s="2602"/>
      <c r="H53" s="260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246</v>
      </c>
      <c r="B54" s="1270" t="s">
        <v>247</v>
      </c>
      <c r="C54" s="1270" t="s">
        <v>248</v>
      </c>
      <c r="D54" s="1241"/>
      <c r="E54" s="2602"/>
      <c r="F54" s="2602"/>
      <c r="G54" s="2601"/>
      <c r="H54" s="1241"/>
      <c r="I54" s="1241"/>
      <c r="J54" s="1241"/>
      <c r="K54" s="1241"/>
      <c r="L54" s="1266"/>
      <c r="M54" s="1242"/>
      <c r="N54" s="124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246</v>
      </c>
      <c r="B55" s="1270" t="s">
        <v>247</v>
      </c>
      <c r="C55" s="1241"/>
      <c r="D55" s="1241"/>
      <c r="E55" s="2602"/>
      <c r="F55" s="2601"/>
      <c r="G55" s="1241"/>
      <c r="H55" s="1241"/>
      <c r="I55" s="1241"/>
      <c r="J55" s="1241"/>
      <c r="K55" s="1241"/>
      <c r="L55" s="1266"/>
      <c r="M55" s="1248"/>
      <c r="N55" s="124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246</v>
      </c>
      <c r="B56" s="1270"/>
      <c r="C56" s="1270"/>
      <c r="D56" s="1270"/>
      <c r="E56" s="2601"/>
      <c r="F56" s="1270"/>
      <c r="G56" s="1270"/>
      <c r="H56" s="1270"/>
      <c r="I56" s="1270"/>
      <c r="J56" s="1270"/>
      <c r="K56" s="1270"/>
      <c r="L56" s="1273"/>
      <c r="M56" s="1248"/>
      <c r="N56" s="1248"/>
      <c r="O56" s="455"/>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2">
        <v>22</v>
      </c>
    </row>
    <row r="60" spans="1:45" ht="30.4" customHeight="1">
      <c r="O60" s="474"/>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2">
        <v>29</v>
      </c>
    </row>
    <row r="61" spans="1:45" ht="42" customHeight="1">
      <c r="O61" s="474"/>
      <c r="T61" s="2600"/>
      <c r="U61" s="2600"/>
      <c r="V61" s="2600"/>
      <c r="W61" s="2600"/>
      <c r="X61" s="2600"/>
      <c r="Y61" s="2600"/>
      <c r="Z61" s="2600"/>
      <c r="AA61" s="2600"/>
      <c r="AB61" s="2600"/>
      <c r="AC61" s="2600"/>
      <c r="AD61" s="2600"/>
      <c r="AE61" s="2600"/>
      <c r="AF61" s="2600"/>
      <c r="AG61" s="2600"/>
      <c r="AH61" s="2600"/>
      <c r="AI61" s="2600"/>
      <c r="AJ61" s="2600"/>
      <c r="AK61" s="2600"/>
      <c r="AL61" s="2600"/>
      <c r="AM61" s="2600"/>
      <c r="AS61" s="1082">
        <v>40</v>
      </c>
    </row>
    <row r="62" spans="1:45" ht="14.65" customHeight="1">
      <c r="O62" s="474"/>
      <c r="AS62" s="1082">
        <v>14</v>
      </c>
    </row>
    <row r="63" spans="1:45" ht="21" customHeight="1">
      <c r="O63" s="474"/>
      <c r="S63" s="1180"/>
      <c r="T63" s="2501"/>
      <c r="U63" s="2600"/>
      <c r="V63" s="2600"/>
      <c r="W63" s="2600"/>
      <c r="X63" s="2600"/>
      <c r="Y63" s="2600"/>
      <c r="Z63" s="2600"/>
      <c r="AA63" s="2600"/>
      <c r="AB63" s="2600"/>
      <c r="AC63" s="2600"/>
      <c r="AD63" s="2600"/>
      <c r="AE63" s="2600"/>
      <c r="AF63" s="2600"/>
      <c r="AG63" s="2600"/>
      <c r="AH63" s="2600"/>
      <c r="AI63" s="2600"/>
      <c r="AJ63" s="2600"/>
      <c r="AK63" s="2600"/>
      <c r="AL63" s="2600"/>
      <c r="AM63" s="2600"/>
      <c r="AS63" s="1082">
        <v>20</v>
      </c>
    </row>
    <row r="64" spans="1:45" ht="29.25" customHeight="1">
      <c r="O64" s="474"/>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2">
        <v>28</v>
      </c>
    </row>
    <row r="65" spans="1:45" ht="35.65" customHeight="1">
      <c r="T65" s="2600"/>
      <c r="U65" s="2600"/>
      <c r="V65" s="2600"/>
      <c r="W65" s="2600"/>
      <c r="X65" s="2600"/>
      <c r="Y65" s="2600"/>
      <c r="Z65" s="2600"/>
      <c r="AA65" s="2600"/>
      <c r="AB65" s="2600"/>
      <c r="AC65" s="2600"/>
      <c r="AD65" s="2600"/>
      <c r="AE65" s="2600"/>
      <c r="AF65" s="2600"/>
      <c r="AG65" s="2600"/>
      <c r="AH65" s="2600"/>
      <c r="AI65" s="2600"/>
      <c r="AJ65" s="2600"/>
      <c r="AK65" s="2600"/>
      <c r="AL65" s="2600"/>
      <c r="AM65" s="2600"/>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601">
        <v>1</v>
      </c>
      <c r="F2" s="1290"/>
      <c r="G2" s="1290"/>
      <c r="H2" s="1290"/>
      <c r="I2" s="1290"/>
      <c r="J2" s="1290"/>
      <c r="K2" s="1290"/>
      <c r="L2" s="1291"/>
      <c r="M2" s="1292"/>
      <c r="N2" s="1292"/>
      <c r="O2" s="1292"/>
      <c r="P2" s="298"/>
      <c r="Q2" s="297"/>
      <c r="R2" s="292"/>
      <c r="S2" s="1263" t="e">
        <f>INDEX(PT_DIFFERENTIATION_NUM_NTAR,MATCH(A2,PT_DIFFERENTIATION_NTAR_ID,0))</f>
        <v>#N/A</v>
      </c>
      <c r="T2" s="235" t="s">
        <v>189</v>
      </c>
      <c r="U2" s="237"/>
      <c r="V2" s="2595"/>
      <c r="W2" s="2596"/>
      <c r="X2" s="2596"/>
      <c r="Y2" s="2596"/>
      <c r="Z2" s="2596"/>
      <c r="AA2" s="2596"/>
      <c r="AB2" s="2596"/>
      <c r="AC2" s="2597"/>
      <c r="AD2" s="2595" t="e">
        <f>INDEX(PT_DIFFERENTIATION_NTAR,MATCH(A2,PT_DIFFERENTIATION_NTAR_ID,0))</f>
        <v>#N/A</v>
      </c>
      <c r="AE2" s="2596"/>
      <c r="AF2" s="2596"/>
      <c r="AG2" s="2596"/>
      <c r="AH2" s="2596"/>
      <c r="AI2" s="2596"/>
      <c r="AJ2" s="2596"/>
      <c r="AK2" s="2596"/>
      <c r="AL2" s="2597"/>
      <c r="AM2" s="1185" t="s">
        <v>476</v>
      </c>
      <c r="AO2" s="437"/>
      <c r="AP2" s="437" t="str">
        <f t="shared" ref="AP2:AP15" si="0">IF(T2="","",T2)</f>
        <v>Наименование тарифа</v>
      </c>
      <c r="AQ2" s="437"/>
      <c r="AR2" s="437"/>
      <c r="AS2" s="1082">
        <v>0</v>
      </c>
    </row>
    <row r="3" spans="1:45" ht="21" hidden="1" customHeight="1">
      <c r="A3" s="1290"/>
      <c r="B3" s="1290"/>
      <c r="C3" s="1290"/>
      <c r="D3" s="1290"/>
      <c r="E3" s="2602"/>
      <c r="F3" s="2601">
        <v>1</v>
      </c>
      <c r="G3" s="1290"/>
      <c r="H3" s="1290"/>
      <c r="I3" s="1290"/>
      <c r="J3" s="1290"/>
      <c r="K3" s="1290"/>
      <c r="L3" s="1291"/>
      <c r="M3" s="1292"/>
      <c r="N3" s="1292"/>
      <c r="O3" s="1292"/>
      <c r="P3" s="1259"/>
      <c r="Q3" s="289"/>
      <c r="R3" s="290"/>
      <c r="S3" s="1263" t="e">
        <f>INDEX(PT_DIFFERENTIATION_NUM_TER,MATCH(B3,PT_DIFFERENTIATION_TER_ID,0))</f>
        <v>#N/A</v>
      </c>
      <c r="T3" s="245" t="s">
        <v>477</v>
      </c>
      <c r="U3" s="237"/>
      <c r="V3" s="2595"/>
      <c r="W3" s="2596"/>
      <c r="X3" s="2596"/>
      <c r="Y3" s="2596"/>
      <c r="Z3" s="2596"/>
      <c r="AA3" s="2596"/>
      <c r="AB3" s="2596"/>
      <c r="AC3" s="2597"/>
      <c r="AD3" s="2595" t="e">
        <f>INDEX(PT_DIFFERENTIATION_TER,MATCH(B3,PT_DIFFERENTIATION_TER_ID,0))</f>
        <v>#N/A</v>
      </c>
      <c r="AE3" s="2596"/>
      <c r="AF3" s="2596"/>
      <c r="AG3" s="2596"/>
      <c r="AH3" s="2596"/>
      <c r="AI3" s="2596"/>
      <c r="AJ3" s="2596"/>
      <c r="AK3" s="2596"/>
      <c r="AL3" s="2597"/>
      <c r="AM3" s="1185" t="s">
        <v>478</v>
      </c>
      <c r="AO3" s="437"/>
      <c r="AP3" s="437" t="str">
        <f t="shared" si="0"/>
        <v>Территория действия тарифа</v>
      </c>
      <c r="AQ3" s="437"/>
      <c r="AR3" s="437"/>
      <c r="AS3" s="1082">
        <v>0</v>
      </c>
    </row>
    <row r="4" spans="1:45" ht="23.25" hidden="1" customHeight="1">
      <c r="A4" s="1290"/>
      <c r="B4" s="1290"/>
      <c r="C4" s="1290"/>
      <c r="D4" s="1290"/>
      <c r="E4" s="2602"/>
      <c r="F4" s="2602"/>
      <c r="G4" s="2601">
        <v>1</v>
      </c>
      <c r="H4" s="1290"/>
      <c r="I4" s="1290"/>
      <c r="J4" s="1290"/>
      <c r="K4" s="1290"/>
      <c r="L4" s="1291"/>
      <c r="M4" s="1292"/>
      <c r="N4" s="1292"/>
      <c r="O4" s="1292"/>
      <c r="P4" s="291"/>
      <c r="Q4" s="289"/>
      <c r="R4" s="290"/>
      <c r="S4" s="1263" t="e">
        <f>INDEX(PT_DIFFERENTIATION_NUM_CS,MATCH(C4,PT_DIFFERENTIATION_CS_ID,0))</f>
        <v>#N/A</v>
      </c>
      <c r="T4" s="246" t="s">
        <v>479</v>
      </c>
      <c r="U4" s="237"/>
      <c r="V4" s="2595"/>
      <c r="W4" s="2596"/>
      <c r="X4" s="2596"/>
      <c r="Y4" s="2596"/>
      <c r="Z4" s="2596"/>
      <c r="AA4" s="2596"/>
      <c r="AB4" s="2596"/>
      <c r="AC4" s="2597"/>
      <c r="AD4" s="2595" t="e">
        <f>INDEX(PT_DIFFERENTIATION_CS,MATCH(C4,PT_DIFFERENTIATION_CS_ID,0))</f>
        <v>#N/A</v>
      </c>
      <c r="AE4" s="2596"/>
      <c r="AF4" s="2596"/>
      <c r="AG4" s="2596"/>
      <c r="AH4" s="2596"/>
      <c r="AI4" s="2596"/>
      <c r="AJ4" s="2596"/>
      <c r="AK4" s="2596"/>
      <c r="AL4" s="2597"/>
      <c r="AM4" s="1185" t="s">
        <v>480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602"/>
      <c r="F5" s="2602"/>
      <c r="G5" s="2602"/>
      <c r="H5" s="2601">
        <v>1</v>
      </c>
      <c r="I5" s="1290"/>
      <c r="J5" s="1290"/>
      <c r="K5" s="1290"/>
      <c r="L5" s="1291"/>
      <c r="M5" s="1292"/>
      <c r="N5" s="1292"/>
      <c r="O5" s="1292"/>
      <c r="P5" s="291"/>
      <c r="Q5" s="289"/>
      <c r="R5" s="290"/>
      <c r="S5" s="1263" t="e">
        <f>INDEX(PT_DIFFERENTIATION_NUM_IST_TE,MATCH(D5,PT_DIFFERENTIATION_IST_TE_ID,0))</f>
        <v>#N/A</v>
      </c>
      <c r="T5" s="247" t="s">
        <v>481</v>
      </c>
      <c r="U5" s="237"/>
      <c r="V5" s="2595"/>
      <c r="W5" s="2596"/>
      <c r="X5" s="2596"/>
      <c r="Y5" s="2596"/>
      <c r="Z5" s="2596"/>
      <c r="AA5" s="2596"/>
      <c r="AB5" s="2596"/>
      <c r="AC5" s="2597"/>
      <c r="AD5" s="2595" t="e">
        <f>INDEX(PT_DIFFERENTIATION_IST_TE,MATCH(D5,PT_DIFFERENTIATION_IST_TE_ID,0))</f>
        <v>#N/A</v>
      </c>
      <c r="AE5" s="2596"/>
      <c r="AF5" s="2596"/>
      <c r="AG5" s="2596"/>
      <c r="AH5" s="2596"/>
      <c r="AI5" s="2596"/>
      <c r="AJ5" s="2596"/>
      <c r="AK5" s="2596"/>
      <c r="AL5" s="2597"/>
      <c r="AM5" s="1185" t="s">
        <v>482</v>
      </c>
      <c r="AO5" s="437"/>
      <c r="AP5" s="437" t="str">
        <f t="shared" si="0"/>
        <v xml:space="preserve">Источник тепловой энергии  </v>
      </c>
      <c r="AQ5" s="437"/>
      <c r="AR5" s="437"/>
      <c r="AS5" s="1082">
        <v>0</v>
      </c>
    </row>
    <row r="6" spans="1:45" ht="14.25" hidden="1" customHeight="1">
      <c r="A6" s="1290"/>
      <c r="B6" s="1290"/>
      <c r="C6" s="1290"/>
      <c r="D6" s="1290"/>
      <c r="E6" s="2602"/>
      <c r="F6" s="2602"/>
      <c r="G6" s="2602"/>
      <c r="H6" s="2602"/>
      <c r="I6" s="2603" t="e">
        <f>S5&amp;".1"</f>
        <v>#N/A</v>
      </c>
      <c r="J6" s="1290"/>
      <c r="K6" s="1290"/>
      <c r="L6" s="1291" t="s">
        <v>483</v>
      </c>
      <c r="M6" s="474"/>
      <c r="P6" s="2605">
        <v>1</v>
      </c>
      <c r="Q6" s="1258"/>
      <c r="R6" s="293"/>
      <c r="S6" s="972"/>
      <c r="T6" s="1310"/>
      <c r="U6" s="1311"/>
      <c r="V6" s="2632"/>
      <c r="W6" s="2633"/>
      <c r="X6" s="2633"/>
      <c r="Y6" s="2633"/>
      <c r="Z6" s="2633"/>
      <c r="AA6" s="2633"/>
      <c r="AB6" s="2633"/>
      <c r="AC6" s="2634"/>
      <c r="AD6" s="2632"/>
      <c r="AE6" s="2633"/>
      <c r="AF6" s="2633"/>
      <c r="AG6" s="2633"/>
      <c r="AH6" s="2633"/>
      <c r="AI6" s="2633"/>
      <c r="AJ6" s="2633"/>
      <c r="AK6" s="2633"/>
      <c r="AL6" s="2634"/>
      <c r="AM6" s="1312"/>
      <c r="AO6" s="437"/>
      <c r="AP6" s="437" t="str">
        <f t="shared" si="0"/>
        <v/>
      </c>
      <c r="AQ6" s="437"/>
      <c r="AR6" s="437"/>
      <c r="AS6" s="1082">
        <v>0</v>
      </c>
    </row>
    <row r="7" spans="1:45" ht="21" hidden="1" customHeight="1">
      <c r="A7" s="1290"/>
      <c r="B7" s="1290"/>
      <c r="C7" s="1290"/>
      <c r="D7" s="1290"/>
      <c r="E7" s="2602"/>
      <c r="F7" s="2602"/>
      <c r="G7" s="2602"/>
      <c r="H7" s="2602"/>
      <c r="I7" s="2604"/>
      <c r="J7" s="2603" t="e">
        <f>I6&amp;".1"</f>
        <v>#N/A</v>
      </c>
      <c r="K7" s="1290"/>
      <c r="L7" s="1291" t="s">
        <v>486</v>
      </c>
      <c r="M7" s="474"/>
      <c r="N7" s="1293"/>
      <c r="P7" s="2605"/>
      <c r="Q7" s="2605">
        <v>1</v>
      </c>
      <c r="R7" s="294"/>
      <c r="S7" s="1263" t="e">
        <f>$J7</f>
        <v>#N/A</v>
      </c>
      <c r="T7" s="223" t="s">
        <v>487</v>
      </c>
      <c r="U7" s="237"/>
      <c r="V7" s="2589"/>
      <c r="W7" s="2590"/>
      <c r="X7" s="2590"/>
      <c r="Y7" s="2590"/>
      <c r="Z7" s="2590"/>
      <c r="AA7" s="2590"/>
      <c r="AB7" s="2590"/>
      <c r="AC7" s="2591"/>
      <c r="AD7" s="2589"/>
      <c r="AE7" s="2590"/>
      <c r="AF7" s="2590"/>
      <c r="AG7" s="2590"/>
      <c r="AH7" s="2590"/>
      <c r="AI7" s="2590"/>
      <c r="AJ7" s="2590"/>
      <c r="AK7" s="2590"/>
      <c r="AL7" s="2591"/>
      <c r="AM7" s="1185" t="s">
        <v>488</v>
      </c>
      <c r="AO7" s="437"/>
      <c r="AP7" s="437" t="str">
        <f t="shared" si="0"/>
        <v>Группа потребителей</v>
      </c>
      <c r="AQ7" s="437"/>
      <c r="AR7" s="437"/>
      <c r="AS7" s="1082">
        <v>0</v>
      </c>
    </row>
    <row r="8" spans="1:45" ht="21" hidden="1" customHeight="1">
      <c r="A8" s="1290"/>
      <c r="B8" s="1290"/>
      <c r="C8" s="1290"/>
      <c r="D8" s="1290"/>
      <c r="E8" s="2602"/>
      <c r="F8" s="2602"/>
      <c r="G8" s="2602"/>
      <c r="H8" s="2602"/>
      <c r="I8" s="2604"/>
      <c r="J8" s="2604"/>
      <c r="K8" s="2603" t="e">
        <f>J7&amp;".1"</f>
        <v>#N/A</v>
      </c>
      <c r="L8" s="1291" t="s">
        <v>489</v>
      </c>
      <c r="M8" s="474"/>
      <c r="N8" s="1293"/>
      <c r="O8" s="1293"/>
      <c r="P8" s="2605"/>
      <c r="Q8" s="2605"/>
      <c r="R8" s="294">
        <v>1</v>
      </c>
      <c r="S8" s="1263" t="e">
        <f>$K8</f>
        <v>#N/A</v>
      </c>
      <c r="T8" s="1274"/>
      <c r="U8" s="237"/>
      <c r="V8" s="688"/>
      <c r="W8" s="262"/>
      <c r="X8" s="688"/>
      <c r="Y8" s="1184"/>
      <c r="Z8" s="2606"/>
      <c r="AA8" s="2471" t="s">
        <v>66</v>
      </c>
      <c r="AB8" s="2606"/>
      <c r="AC8" s="2471" t="s">
        <v>66</v>
      </c>
      <c r="AD8" s="688"/>
      <c r="AE8" s="262"/>
      <c r="AF8" s="688"/>
      <c r="AG8" s="1184"/>
      <c r="AH8" s="2606"/>
      <c r="AI8" s="2471" t="s">
        <v>66</v>
      </c>
      <c r="AJ8" s="2606"/>
      <c r="AK8" s="2471" t="s">
        <v>66</v>
      </c>
      <c r="AL8" s="262"/>
      <c r="AM8" s="2624" t="s">
        <v>490</v>
      </c>
      <c r="AN8" s="448" t="e">
        <f ca="1">STRCHECKDATE(V9:AL9)</f>
        <v>#NAME?</v>
      </c>
      <c r="AO8" s="437"/>
      <c r="AP8" s="437" t="str">
        <f t="shared" si="0"/>
        <v/>
      </c>
      <c r="AQ8" s="437"/>
      <c r="AR8" s="437"/>
      <c r="AS8" s="1082">
        <v>0</v>
      </c>
    </row>
    <row r="9" spans="1:45" ht="14.25" hidden="1" customHeight="1">
      <c r="A9" s="1290"/>
      <c r="B9" s="1290"/>
      <c r="C9" s="1290"/>
      <c r="D9" s="1290"/>
      <c r="E9" s="2602"/>
      <c r="F9" s="2602"/>
      <c r="G9" s="2602"/>
      <c r="H9" s="2602"/>
      <c r="I9" s="2604"/>
      <c r="J9" s="2604"/>
      <c r="K9" s="2603"/>
      <c r="L9" s="1291"/>
      <c r="M9" s="474"/>
      <c r="N9" s="1293"/>
      <c r="O9" s="1293"/>
      <c r="P9" s="2605"/>
      <c r="Q9" s="2605"/>
      <c r="R9" s="294"/>
      <c r="S9" s="1269"/>
      <c r="T9" s="237"/>
      <c r="U9" s="237"/>
      <c r="V9" s="262"/>
      <c r="W9" s="262"/>
      <c r="X9" s="262"/>
      <c r="Y9" s="265" t="str">
        <f>Z8&amp;"-"&amp;AB8</f>
        <v>-</v>
      </c>
      <c r="Z9" s="2607"/>
      <c r="AA9" s="2471"/>
      <c r="AB9" s="2607"/>
      <c r="AC9" s="2471"/>
      <c r="AD9" s="262"/>
      <c r="AE9" s="262"/>
      <c r="AF9" s="262"/>
      <c r="AG9" s="265" t="str">
        <f>AH8&amp;"-"&amp;AJ8</f>
        <v>-</v>
      </c>
      <c r="AH9" s="2607"/>
      <c r="AI9" s="2471"/>
      <c r="AJ9" s="2607"/>
      <c r="AK9" s="2471"/>
      <c r="AL9" s="262"/>
      <c r="AM9" s="2625"/>
      <c r="AO9" s="437"/>
      <c r="AP9" s="437" t="str">
        <f t="shared" si="0"/>
        <v/>
      </c>
      <c r="AQ9" s="437"/>
      <c r="AR9" s="437"/>
      <c r="AS9" s="1082">
        <v>0</v>
      </c>
    </row>
    <row r="10" spans="1:45" ht="15" hidden="1" customHeight="1">
      <c r="A10" s="1290"/>
      <c r="B10" s="1290"/>
      <c r="C10" s="1290"/>
      <c r="D10" s="1290"/>
      <c r="E10" s="2602"/>
      <c r="F10" s="2602"/>
      <c r="G10" s="2602"/>
      <c r="H10" s="2602"/>
      <c r="I10" s="2604"/>
      <c r="J10" s="2603"/>
      <c r="K10" s="1290"/>
      <c r="L10" s="1291"/>
      <c r="M10" s="474"/>
      <c r="N10" s="1293"/>
      <c r="P10" s="2605"/>
      <c r="Q10" s="2605"/>
      <c r="R10" s="293"/>
      <c r="S10" s="1205"/>
      <c r="T10" s="224" t="s">
        <v>491</v>
      </c>
      <c r="U10" s="304"/>
      <c r="V10" s="304"/>
      <c r="W10" s="304"/>
      <c r="X10" s="304"/>
      <c r="Y10" s="304"/>
      <c r="Z10" s="304"/>
      <c r="AA10" s="304"/>
      <c r="AB10" s="304"/>
      <c r="AC10" s="304"/>
      <c r="AD10" s="304"/>
      <c r="AE10" s="304"/>
      <c r="AF10" s="304"/>
      <c r="AG10" s="304"/>
      <c r="AH10" s="304"/>
      <c r="AI10" s="304"/>
      <c r="AJ10" s="304"/>
      <c r="AK10" s="304"/>
      <c r="AL10" s="261"/>
      <c r="AM10" s="262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602"/>
      <c r="F11" s="2602"/>
      <c r="G11" s="2602"/>
      <c r="H11" s="2602"/>
      <c r="I11" s="2603"/>
      <c r="J11" s="1290"/>
      <c r="K11" s="1290"/>
      <c r="L11" s="1291"/>
      <c r="M11" s="474"/>
      <c r="P11" s="2605"/>
      <c r="Q11" s="1258"/>
      <c r="R11" s="293"/>
      <c r="S11" s="1205"/>
      <c r="T11" s="302" t="s">
        <v>492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602"/>
      <c r="F12" s="2602"/>
      <c r="G12" s="2602"/>
      <c r="H12" s="260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602"/>
      <c r="F13" s="2602"/>
      <c r="G13" s="2601"/>
      <c r="H13" s="1241"/>
      <c r="I13" s="1241"/>
      <c r="J13" s="1241"/>
      <c r="K13" s="1241"/>
      <c r="L13" s="1266"/>
      <c r="M13" s="1242"/>
      <c r="N13" s="1242"/>
      <c r="P13" s="1243"/>
      <c r="Q13" s="1244"/>
      <c r="R13" s="1243"/>
      <c r="S13" s="1245"/>
      <c r="T13" s="1246" t="s">
        <v>494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602"/>
      <c r="F14" s="2601"/>
      <c r="G14" s="1241"/>
      <c r="H14" s="1241"/>
      <c r="I14" s="1241"/>
      <c r="J14" s="1241"/>
      <c r="K14" s="1241"/>
      <c r="L14" s="1266"/>
      <c r="M14" s="1248"/>
      <c r="N14" s="1248"/>
      <c r="P14" s="1243"/>
      <c r="Q14" s="1244"/>
      <c r="R14" s="1243"/>
      <c r="S14" s="1249"/>
      <c r="T14" s="1250" t="s">
        <v>295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601"/>
      <c r="F15" s="1241"/>
      <c r="G15" s="1241"/>
      <c r="H15" s="1241"/>
      <c r="I15" s="1241"/>
      <c r="J15" s="1241"/>
      <c r="K15" s="1241"/>
      <c r="L15" s="1266"/>
      <c r="M15" s="1248"/>
      <c r="N15" s="1248"/>
      <c r="P15" s="1243"/>
      <c r="Q15" s="1244"/>
      <c r="R15" s="1243"/>
      <c r="S15" s="1249"/>
      <c r="T15" s="1252" t="s">
        <v>299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99"/>
      <c r="AI17" s="2598" t="s">
        <v>66</v>
      </c>
      <c r="AJ17" s="2599"/>
      <c r="AK17" s="2598" t="s">
        <v>66</v>
      </c>
      <c r="AS17" s="1082">
        <v>0</v>
      </c>
    </row>
    <row r="18" spans="1:45" ht="14.25" hidden="1" customHeight="1">
      <c r="AD18" s="1287"/>
      <c r="AE18" s="1287"/>
      <c r="AF18" s="1287"/>
      <c r="AG18" s="265" t="str">
        <f>AH17&amp;"-"&amp;AJ17</f>
        <v>-</v>
      </c>
      <c r="AH18" s="2598"/>
      <c r="AI18" s="2598"/>
      <c r="AJ18" s="2598"/>
      <c r="AK18" s="2598"/>
      <c r="AS18" s="1082">
        <v>0</v>
      </c>
    </row>
    <row r="19" spans="1:45" ht="14.25" hidden="1" customHeight="1">
      <c r="AK19" s="264"/>
      <c r="AS19" s="1082">
        <v>0</v>
      </c>
    </row>
    <row r="20" spans="1:45" s="1293" customFormat="1" ht="22.5" hidden="1" customHeight="1">
      <c r="L20" s="1256"/>
      <c r="M20" s="1289"/>
      <c r="N20" s="1289"/>
      <c r="O20" s="1294" t="s">
        <v>495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496</v>
      </c>
      <c r="P22" s="1289"/>
      <c r="Q22" s="1298"/>
      <c r="R22" s="1298"/>
      <c r="S22" s="666"/>
      <c r="T22" s="1087" t="s">
        <v>497</v>
      </c>
      <c r="AA22" s="123" t="s">
        <v>498</v>
      </c>
      <c r="AC22" s="123" t="s">
        <v>499</v>
      </c>
      <c r="AD22" s="1087" t="s">
        <v>497</v>
      </c>
      <c r="AI22" s="123" t="s">
        <v>500</v>
      </c>
      <c r="AK22" s="123" t="s">
        <v>499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5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2"/>
      <c r="U26" s="2582"/>
      <c r="V26" s="2582"/>
      <c r="W26" s="2582"/>
      <c r="X26" s="2582"/>
      <c r="Y26" s="2582"/>
      <c r="Z26" s="2582"/>
      <c r="AA26" s="2582"/>
      <c r="AB26" s="2582"/>
      <c r="AC26" s="2582"/>
      <c r="AD26" s="2582"/>
      <c r="AE26" s="2582"/>
      <c r="AF26" s="2582"/>
      <c r="AG26" s="2582"/>
      <c r="AH26" s="2582"/>
      <c r="AI26" s="2582"/>
      <c r="AJ26" s="2582"/>
      <c r="AK26" s="1170"/>
      <c r="AS26" s="1082">
        <v>51</v>
      </c>
    </row>
    <row r="27" spans="1:45" ht="14.65" customHeight="1">
      <c r="Q27" s="313"/>
      <c r="R27" s="313"/>
      <c r="S2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55"/>
      <c r="U27" s="2555"/>
      <c r="V27" s="2555"/>
      <c r="W27" s="2555"/>
      <c r="X27" s="2555"/>
      <c r="Y27" s="2555"/>
      <c r="Z27" s="2555"/>
      <c r="AA27" s="2555"/>
      <c r="AB27" s="2555"/>
      <c r="AC27" s="2555"/>
      <c r="AD27" s="2555"/>
      <c r="AE27" s="2555"/>
      <c r="AF27" s="2555"/>
      <c r="AG27" s="2555"/>
      <c r="AH27" s="2555"/>
      <c r="AI27" s="2555"/>
      <c r="AJ27" s="2555"/>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92" t="s">
        <v>42</v>
      </c>
      <c r="T29" s="2592"/>
      <c r="U29" s="1299"/>
      <c r="V29" s="2594" t="str">
        <f>IF(TITLE_NAME_OR_PR_CHANGE="",IF(TITLE_NAME_OR_PR="","",TITLE_NAME_OR_PR),TITLE_NAME_OR_PR_CHANGE)</f>
        <v>Региональная служба по тарифам Ростовской области</v>
      </c>
      <c r="W29" s="2594"/>
      <c r="X29" s="2594"/>
      <c r="Y29" s="2594"/>
      <c r="Z29" s="2594"/>
      <c r="AA29" s="2594"/>
      <c r="AB29" s="2594"/>
      <c r="AC29" s="263"/>
      <c r="AD29" s="2594" t="str">
        <f>IF(TITLE_NAME_OR_PR_CHANGE="",IF(TITLE_NAME_OR_PR="","",TITLE_NAME_OR_PR),TITLE_NAME_OR_PR_CHANGE)</f>
        <v>Региональная служба по тарифам Ростовской области</v>
      </c>
      <c r="AE29" s="2594"/>
      <c r="AF29" s="2594"/>
      <c r="AG29" s="2594"/>
      <c r="AH29" s="2594"/>
      <c r="AI29" s="2594"/>
      <c r="AJ29" s="2594"/>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92" t="s">
        <v>501</v>
      </c>
      <c r="T30" s="2592"/>
      <c r="U30" s="1299"/>
      <c r="V30" s="2593">
        <f>IF(TITLE_DATE_PR_CHANGE="",IF(TITLE_DATE_PR="","",TITLE_DATE_PR),TITLE_DATE_PR_CHANGE)</f>
        <v>45596.468541666669</v>
      </c>
      <c r="W30" s="2593"/>
      <c r="X30" s="2593"/>
      <c r="Y30" s="2593"/>
      <c r="Z30" s="2593"/>
      <c r="AA30" s="2593"/>
      <c r="AB30" s="2593"/>
      <c r="AC30" s="263"/>
      <c r="AD30" s="2593">
        <f>IF(TITLE_DATE_PR_CHANGE="",IF(TITLE_DATE_PR="","",TITLE_DATE_PR),TITLE_DATE_PR_CHANGE)</f>
        <v>45596.468541666669</v>
      </c>
      <c r="AE30" s="2593"/>
      <c r="AF30" s="2593"/>
      <c r="AG30" s="2593"/>
      <c r="AH30" s="2593"/>
      <c r="AI30" s="2593"/>
      <c r="AJ30" s="2593"/>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92" t="s">
        <v>502</v>
      </c>
      <c r="T31" s="2592"/>
      <c r="U31" s="1299"/>
      <c r="V31" s="2594" t="str">
        <f>IF(TITLE_NUMBER_PR_CHANGE="",IF(TITLE_NUMBER_PR="","",TITLE_NUMBER_PR),TITLE_NUMBER_PR_CHANGE)</f>
        <v>440,503</v>
      </c>
      <c r="W31" s="2594"/>
      <c r="X31" s="2594"/>
      <c r="Y31" s="2594"/>
      <c r="Z31" s="2594"/>
      <c r="AA31" s="2594"/>
      <c r="AB31" s="2594"/>
      <c r="AC31" s="263"/>
      <c r="AD31" s="2594" t="str">
        <f>IF(TITLE_NUMBER_PR_CHANGE="",IF(TITLE_NUMBER_PR="","",TITLE_NUMBER_PR),TITLE_NUMBER_PR_CHANGE)</f>
        <v>440,503</v>
      </c>
      <c r="AE31" s="2594"/>
      <c r="AF31" s="2594"/>
      <c r="AG31" s="2594"/>
      <c r="AH31" s="2594"/>
      <c r="AI31" s="2594"/>
      <c r="AJ31" s="2594"/>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92" t="s">
        <v>44</v>
      </c>
      <c r="T32" s="2592"/>
      <c r="U32" s="1299"/>
      <c r="V32" s="2594" t="str">
        <f>IF(TITLE_IST_PUB_CHANGE="",IF(TITLE_IST_PUB="","",TITLE_IST_PUB),TITLE_IST_PUB_CHANGE)</f>
        <v>Региональная служба по тарифам Ростовской области</v>
      </c>
      <c r="W32" s="2594"/>
      <c r="X32" s="2594"/>
      <c r="Y32" s="2594"/>
      <c r="Z32" s="2594"/>
      <c r="AA32" s="2594"/>
      <c r="AB32" s="2594"/>
      <c r="AC32" s="263"/>
      <c r="AD32" s="2594" t="str">
        <f>IF(TITLE_IST_PUB_CHANGE="",IF(TITLE_IST_PUB="","",TITLE_IST_PUB),TITLE_IST_PUB_CHANGE)</f>
        <v>Региональная служба по тарифам Ростовской области</v>
      </c>
      <c r="AE32" s="2594"/>
      <c r="AF32" s="2594"/>
      <c r="AG32" s="2594"/>
      <c r="AH32" s="2594"/>
      <c r="AI32" s="2594"/>
      <c r="AJ32" s="259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92" t="s">
        <v>503</v>
      </c>
      <c r="T34" s="2592"/>
      <c r="U34" s="1299"/>
      <c r="V34" s="2593">
        <f>IF(TITLE_DATE_PR_CHANGE="",IF(TITLE_DATE_PR="","",TITLE_DATE_PR),TITLE_DATE_PR_CHANGE)</f>
        <v>45596.468541666669</v>
      </c>
      <c r="W34" s="2593"/>
      <c r="X34" s="2593"/>
      <c r="Y34" s="2593"/>
      <c r="Z34" s="2593"/>
      <c r="AA34" s="2593"/>
      <c r="AB34" s="2593"/>
      <c r="AC34" s="263"/>
      <c r="AD34" s="2593">
        <f>IF(TITLE_DATE_PR_CHANGE="",IF(TITLE_DATE_PR="","",TITLE_DATE_PR),TITLE_DATE_PR_CHANGE)</f>
        <v>45596.468541666669</v>
      </c>
      <c r="AE34" s="2593"/>
      <c r="AF34" s="2593"/>
      <c r="AG34" s="2593"/>
      <c r="AH34" s="2593"/>
      <c r="AI34" s="2593"/>
      <c r="AJ34" s="259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592" t="s">
        <v>504</v>
      </c>
      <c r="T35" s="2592"/>
      <c r="U35" s="1299"/>
      <c r="V35" s="2594" t="str">
        <f>IF(TITLE_NUMBER_PR_CHANGE="",IF(TITLE_NUMBER_PR="","",TITLE_NUMBER_PR),TITLE_NUMBER_PR_CHANGE)</f>
        <v>440,503</v>
      </c>
      <c r="W35" s="2594"/>
      <c r="X35" s="2594"/>
      <c r="Y35" s="2594"/>
      <c r="Z35" s="2594"/>
      <c r="AA35" s="2594"/>
      <c r="AB35" s="2594"/>
      <c r="AC35" s="263"/>
      <c r="AD35" s="2594" t="str">
        <f>IF(TITLE_NUMBER_PR_CHANGE="",IF(TITLE_NUMBER_PR="","",TITLE_NUMBER_PR),TITLE_NUMBER_PR_CHANGE)</f>
        <v>440,503</v>
      </c>
      <c r="AE35" s="2594"/>
      <c r="AF35" s="2594"/>
      <c r="AG35" s="2594"/>
      <c r="AH35" s="2594"/>
      <c r="AI35" s="2594"/>
      <c r="AJ35" s="259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505</v>
      </c>
      <c r="AD36" s="263"/>
      <c r="AE36" s="263"/>
      <c r="AF36" s="263"/>
      <c r="AG36" s="263"/>
      <c r="AH36" s="263"/>
      <c r="AI36" s="263"/>
      <c r="AJ36" s="263"/>
      <c r="AK36" s="215" t="s">
        <v>505</v>
      </c>
      <c r="AN36" s="305"/>
      <c r="AO36" s="305"/>
      <c r="AP36" s="305"/>
      <c r="AQ36" s="305"/>
      <c r="AR36" s="305"/>
      <c r="AS36" s="355">
        <v>0</v>
      </c>
    </row>
    <row r="37" spans="1:45" ht="14.65" customHeight="1">
      <c r="Q37" s="313"/>
      <c r="R37" s="313"/>
      <c r="S37" s="1202"/>
      <c r="T37" s="300"/>
      <c r="U37" s="1171"/>
      <c r="V37" s="2613"/>
      <c r="W37" s="2613"/>
      <c r="X37" s="2613"/>
      <c r="Y37" s="2613"/>
      <c r="Z37" s="2613"/>
      <c r="AA37" s="2613"/>
      <c r="AB37" s="2613"/>
      <c r="AC37" s="2613"/>
      <c r="AD37" s="2613"/>
      <c r="AE37" s="2613"/>
      <c r="AF37" s="2613"/>
      <c r="AG37" s="2613"/>
      <c r="AH37" s="2613"/>
      <c r="AI37" s="2613"/>
      <c r="AJ37" s="2613"/>
      <c r="AK37" s="2613"/>
      <c r="AS37" s="1082">
        <v>14</v>
      </c>
    </row>
    <row r="38" spans="1:45" ht="14.65" customHeight="1">
      <c r="Q38" s="313"/>
      <c r="R38" s="313"/>
      <c r="S38" s="2461" t="s">
        <v>380</v>
      </c>
      <c r="T38" s="2461"/>
      <c r="U38" s="2461"/>
      <c r="V38" s="2461"/>
      <c r="W38" s="2461"/>
      <c r="X38" s="2461"/>
      <c r="Y38" s="2461"/>
      <c r="Z38" s="2461"/>
      <c r="AA38" s="2461"/>
      <c r="AB38" s="2461"/>
      <c r="AC38" s="2461"/>
      <c r="AD38" s="2461"/>
      <c r="AE38" s="2461"/>
      <c r="AF38" s="2461"/>
      <c r="AG38" s="2461"/>
      <c r="AH38" s="2461"/>
      <c r="AI38" s="2461"/>
      <c r="AJ38" s="2461"/>
      <c r="AK38" s="2461"/>
      <c r="AL38" s="2461"/>
      <c r="AM38" s="2461" t="s">
        <v>381</v>
      </c>
      <c r="AS38" s="1082">
        <v>14</v>
      </c>
    </row>
    <row r="39" spans="1:45" ht="14.65" customHeight="1">
      <c r="Q39" s="313"/>
      <c r="R39" s="313"/>
      <c r="S39" s="2614" t="s">
        <v>88</v>
      </c>
      <c r="T39" s="2563" t="s">
        <v>506</v>
      </c>
      <c r="U39" s="238"/>
      <c r="V39" s="2615" t="s">
        <v>507</v>
      </c>
      <c r="W39" s="2616"/>
      <c r="X39" s="2616"/>
      <c r="Y39" s="2616"/>
      <c r="Z39" s="2616"/>
      <c r="AA39" s="2616"/>
      <c r="AB39" s="2617"/>
      <c r="AC39" s="2618" t="s">
        <v>508</v>
      </c>
      <c r="AD39" s="2615" t="s">
        <v>507</v>
      </c>
      <c r="AE39" s="2616"/>
      <c r="AF39" s="2616"/>
      <c r="AG39" s="2616"/>
      <c r="AH39" s="2616"/>
      <c r="AI39" s="2616"/>
      <c r="AJ39" s="2617"/>
      <c r="AK39" s="2618" t="s">
        <v>509</v>
      </c>
      <c r="AL39" s="2621" t="s">
        <v>510</v>
      </c>
      <c r="AM39" s="2461"/>
      <c r="AS39" s="1082">
        <v>14</v>
      </c>
    </row>
    <row r="40" spans="1:45" ht="35.65" customHeight="1">
      <c r="Q40" s="313"/>
      <c r="R40" s="313"/>
      <c r="S40" s="2614"/>
      <c r="T40" s="2563"/>
      <c r="U40" s="961"/>
      <c r="V40" s="2535" t="s">
        <v>511</v>
      </c>
      <c r="W40" s="2610"/>
      <c r="X40" s="2442" t="s">
        <v>513</v>
      </c>
      <c r="Y40" s="2441"/>
      <c r="Z40" s="2442" t="s">
        <v>514</v>
      </c>
      <c r="AA40" s="2448"/>
      <c r="AB40" s="2441"/>
      <c r="AC40" s="2619"/>
      <c r="AD40" s="2535" t="s">
        <v>527</v>
      </c>
      <c r="AE40" s="2610"/>
      <c r="AF40" s="2442" t="s">
        <v>513</v>
      </c>
      <c r="AG40" s="2441"/>
      <c r="AH40" s="2442" t="s">
        <v>514</v>
      </c>
      <c r="AI40" s="2448"/>
      <c r="AJ40" s="2441"/>
      <c r="AK40" s="2619"/>
      <c r="AL40" s="2622"/>
      <c r="AM40" s="2461"/>
      <c r="AS40" s="1082">
        <v>34</v>
      </c>
    </row>
    <row r="41" spans="1:45" ht="35.65" customHeight="1">
      <c r="A41" s="1297"/>
      <c r="B41" s="1297" t="s">
        <v>201</v>
      </c>
      <c r="C41" s="1297" t="s">
        <v>202</v>
      </c>
      <c r="D41" s="1297" t="s">
        <v>203</v>
      </c>
      <c r="E41" s="1291" t="s">
        <v>515</v>
      </c>
      <c r="F41" s="1291" t="s">
        <v>516</v>
      </c>
      <c r="G41" s="1291" t="s">
        <v>517</v>
      </c>
      <c r="H41" s="1291" t="s">
        <v>518</v>
      </c>
      <c r="I41" s="1291" t="s">
        <v>519</v>
      </c>
      <c r="J41" s="1291" t="s">
        <v>520</v>
      </c>
      <c r="K41" s="1291" t="s">
        <v>521</v>
      </c>
      <c r="L41" s="1291" t="s">
        <v>496</v>
      </c>
      <c r="Q41" s="313"/>
      <c r="R41" s="313"/>
      <c r="S41" s="2614"/>
      <c r="T41" s="2563"/>
      <c r="U41" s="239"/>
      <c r="V41" s="2587"/>
      <c r="W41" s="2611"/>
      <c r="X41" s="1149" t="s">
        <v>522</v>
      </c>
      <c r="Y41" s="1149" t="s">
        <v>523</v>
      </c>
      <c r="Z41" s="1265" t="s">
        <v>524</v>
      </c>
      <c r="AA41" s="2568" t="s">
        <v>525</v>
      </c>
      <c r="AB41" s="2581"/>
      <c r="AC41" s="2620"/>
      <c r="AD41" s="2587"/>
      <c r="AE41" s="2611"/>
      <c r="AF41" s="1149" t="s">
        <v>522</v>
      </c>
      <c r="AG41" s="1149" t="s">
        <v>523</v>
      </c>
      <c r="AH41" s="1265" t="s">
        <v>524</v>
      </c>
      <c r="AI41" s="2568" t="s">
        <v>525</v>
      </c>
      <c r="AJ41" s="2581"/>
      <c r="AK41" s="2620"/>
      <c r="AL41" s="2623"/>
      <c r="AM41" s="246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177</v>
      </c>
      <c r="T42" s="1182" t="s">
        <v>102</v>
      </c>
      <c r="U42" s="1172" t="str">
        <f ca="1">OFFSET(U42,0,-1)</f>
        <v>2</v>
      </c>
      <c r="V42" s="1262">
        <f ca="1">OFFSET(V42,0,-1)+1</f>
        <v>3</v>
      </c>
      <c r="W42" s="1262"/>
      <c r="X42" s="1262">
        <f ca="1">OFFSET(X42,0,-1)+1</f>
        <v>1</v>
      </c>
      <c r="Y42" s="1262">
        <f ca="1">OFFSET(Y42,0,-1)+1</f>
        <v>2</v>
      </c>
      <c r="Z42" s="1262">
        <f ca="1">OFFSET(Z42,0,-1)+1</f>
        <v>3</v>
      </c>
      <c r="AA42" s="2612">
        <f ca="1">OFFSET(AA42,0,-1)+1</f>
        <v>4</v>
      </c>
      <c r="AB42" s="2612"/>
      <c r="AC42" s="1262">
        <f ca="1">OFFSET(AC42,0,-2)+1</f>
        <v>5</v>
      </c>
      <c r="AD42" s="1262">
        <f ca="1">OFFSET(AD42,0,-1)+1</f>
        <v>6</v>
      </c>
      <c r="AE42" s="1262"/>
      <c r="AF42" s="1262">
        <f ca="1">OFFSET(AF42,0,-1)+1</f>
        <v>1</v>
      </c>
      <c r="AG42" s="1262">
        <f ca="1">OFFSET(AG42,0,-1)+1</f>
        <v>2</v>
      </c>
      <c r="AH42" s="1262">
        <f ca="1">OFFSET(AH42,0,-1)+1</f>
        <v>3</v>
      </c>
      <c r="AI42" s="2612">
        <f ca="1">OFFSET(AI42,0,-1)+1</f>
        <v>4</v>
      </c>
      <c r="AJ42" s="2612"/>
      <c r="AK42" s="1262">
        <f ca="1">OFFSET(AK42,0,-2)+1</f>
        <v>5</v>
      </c>
      <c r="AL42" s="1172">
        <f ca="1">OFFSET(AL42,0,-1)</f>
        <v>5</v>
      </c>
      <c r="AM42" s="1262">
        <f ca="1">OFFSET(AM42,0,-1)+1</f>
        <v>6</v>
      </c>
      <c r="AN42" s="448"/>
      <c r="AO42" s="448"/>
      <c r="AP42" s="448"/>
      <c r="AQ42" s="448"/>
      <c r="AR42" s="448"/>
      <c r="AS42" s="433">
        <v>0</v>
      </c>
    </row>
    <row r="43" spans="1:45" ht="21.95" customHeight="1">
      <c r="A43" s="1290" t="s">
        <v>252</v>
      </c>
      <c r="B43" s="1290"/>
      <c r="C43" s="1290"/>
      <c r="D43" s="1290"/>
      <c r="E43" s="260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189</v>
      </c>
      <c r="U43" s="237"/>
      <c r="V43" s="2595"/>
      <c r="W43" s="2596"/>
      <c r="X43" s="2596"/>
      <c r="Y43" s="2596"/>
      <c r="Z43" s="2596"/>
      <c r="AA43" s="2596"/>
      <c r="AB43" s="2596"/>
      <c r="AC43" s="2597"/>
      <c r="AD43" s="2595" t="str">
        <f>INDEX(PT_DIFFERENTIATION_NTAR,MATCH(A43,PT_DIFFERENTIATION_NTAR_ID,0))</f>
        <v/>
      </c>
      <c r="AE43" s="2596"/>
      <c r="AF43" s="2596"/>
      <c r="AG43" s="2596"/>
      <c r="AH43" s="2596"/>
      <c r="AI43" s="2596"/>
      <c r="AJ43" s="2596"/>
      <c r="AK43" s="2596"/>
      <c r="AL43" s="259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252</v>
      </c>
      <c r="B44" s="1290" t="s">
        <v>253</v>
      </c>
      <c r="C44" s="1290"/>
      <c r="D44" s="1290"/>
      <c r="E44" s="2602"/>
      <c r="F44" s="2601">
        <v>1</v>
      </c>
      <c r="G44" s="1290"/>
      <c r="H44" s="1290"/>
      <c r="I44" s="1290"/>
      <c r="J44" s="1290"/>
      <c r="K44" s="1290"/>
      <c r="L44" s="1291"/>
      <c r="M44" s="1292"/>
      <c r="N44" s="1292"/>
      <c r="O44" s="1292"/>
      <c r="P44" s="1259"/>
      <c r="Q44" s="289"/>
      <c r="R44" s="290"/>
      <c r="S44" s="1263" t="str">
        <f>INDEX(PT_DIFFERENTIATION_NUM_TER,MATCH(B44,PT_DIFFERENTIATION_TER_ID,0))</f>
        <v>.</v>
      </c>
      <c r="T44" s="245" t="s">
        <v>477</v>
      </c>
      <c r="U44" s="237"/>
      <c r="V44" s="2595"/>
      <c r="W44" s="2596"/>
      <c r="X44" s="2596"/>
      <c r="Y44" s="2596"/>
      <c r="Z44" s="2596"/>
      <c r="AA44" s="2596"/>
      <c r="AB44" s="2596"/>
      <c r="AC44" s="2597"/>
      <c r="AD44" s="2595" t="str">
        <f>INDEX(PT_DIFFERENTIATION_TER,MATCH(B44,PT_DIFFERENTIATION_TER_ID,0))</f>
        <v/>
      </c>
      <c r="AE44" s="2596"/>
      <c r="AF44" s="2596"/>
      <c r="AG44" s="2596"/>
      <c r="AH44" s="2596"/>
      <c r="AI44" s="2596"/>
      <c r="AJ44" s="2596"/>
      <c r="AK44" s="2596"/>
      <c r="AL44" s="2597"/>
      <c r="AM44" s="1185" t="s">
        <v>478</v>
      </c>
      <c r="AO44" s="437"/>
      <c r="AP44" s="437" t="str">
        <f t="shared" si="1"/>
        <v>Территория действия тарифа</v>
      </c>
      <c r="AQ44" s="437"/>
      <c r="AR44" s="437"/>
      <c r="AS44" s="1082">
        <v>21</v>
      </c>
    </row>
    <row r="45" spans="1:45" ht="24" customHeight="1">
      <c r="A45" s="1290" t="s">
        <v>252</v>
      </c>
      <c r="B45" s="1290" t="s">
        <v>253</v>
      </c>
      <c r="C45" s="1290" t="s">
        <v>254</v>
      </c>
      <c r="D45" s="1290"/>
      <c r="E45" s="2602"/>
      <c r="F45" s="2602"/>
      <c r="G45" s="2601">
        <v>1</v>
      </c>
      <c r="H45" s="1290"/>
      <c r="I45" s="1290"/>
      <c r="J45" s="1290"/>
      <c r="K45" s="1290"/>
      <c r="L45" s="1291"/>
      <c r="M45" s="1292"/>
      <c r="N45" s="1292"/>
      <c r="O45" s="1292"/>
      <c r="P45" s="291"/>
      <c r="Q45" s="289"/>
      <c r="R45" s="290"/>
      <c r="S45" s="1263" t="str">
        <f>INDEX(PT_DIFFERENTIATION_NUM_CS,MATCH(C45,PT_DIFFERENTIATION_CS_ID,0))</f>
        <v>..</v>
      </c>
      <c r="T45" s="246" t="s">
        <v>479</v>
      </c>
      <c r="U45" s="237"/>
      <c r="V45" s="2595"/>
      <c r="W45" s="2596"/>
      <c r="X45" s="2596"/>
      <c r="Y45" s="2596"/>
      <c r="Z45" s="2596"/>
      <c r="AA45" s="2596"/>
      <c r="AB45" s="2596"/>
      <c r="AC45" s="2597"/>
      <c r="AD45" s="2595" t="str">
        <f>INDEX(PT_DIFFERENTIATION_CS,MATCH(C45,PT_DIFFERENTIATION_CS_ID,0))</f>
        <v/>
      </c>
      <c r="AE45" s="2596"/>
      <c r="AF45" s="2596"/>
      <c r="AG45" s="2596"/>
      <c r="AH45" s="2596"/>
      <c r="AI45" s="2596"/>
      <c r="AJ45" s="2596"/>
      <c r="AK45" s="2596"/>
      <c r="AL45" s="2597"/>
      <c r="AM45" s="1185" t="s">
        <v>480</v>
      </c>
      <c r="AO45" s="437"/>
      <c r="AP45" s="437" t="str">
        <f t="shared" si="1"/>
        <v xml:space="preserve">Наименование системы теплоснабжения </v>
      </c>
      <c r="AQ45" s="437"/>
      <c r="AR45" s="437"/>
      <c r="AS45" s="1082">
        <v>23</v>
      </c>
    </row>
    <row r="46" spans="1:45" ht="21.95" customHeight="1">
      <c r="A46" s="1290" t="s">
        <v>252</v>
      </c>
      <c r="B46" s="1290" t="s">
        <v>253</v>
      </c>
      <c r="C46" s="1290" t="s">
        <v>254</v>
      </c>
      <c r="D46" s="1290" t="s">
        <v>255</v>
      </c>
      <c r="E46" s="2602"/>
      <c r="F46" s="2602"/>
      <c r="G46" s="2602"/>
      <c r="H46" s="2601">
        <v>1</v>
      </c>
      <c r="I46" s="1290"/>
      <c r="J46" s="1290"/>
      <c r="K46" s="1290"/>
      <c r="L46" s="1291"/>
      <c r="M46" s="1292"/>
      <c r="N46" s="1292"/>
      <c r="O46" s="1292"/>
      <c r="P46" s="291"/>
      <c r="Q46" s="289"/>
      <c r="R46" s="290"/>
      <c r="S46" s="1263" t="str">
        <f>INDEX(PT_DIFFERENTIATION_NUM_IST_TE,MATCH(D46,PT_DIFFERENTIATION_IST_TE_ID,0))</f>
        <v>...</v>
      </c>
      <c r="T46" s="247" t="s">
        <v>481</v>
      </c>
      <c r="U46" s="237"/>
      <c r="V46" s="2595"/>
      <c r="W46" s="2596"/>
      <c r="X46" s="2596"/>
      <c r="Y46" s="2596"/>
      <c r="Z46" s="2596"/>
      <c r="AA46" s="2596"/>
      <c r="AB46" s="2596"/>
      <c r="AC46" s="2597"/>
      <c r="AD46" s="2595" t="str">
        <f>INDEX(PT_DIFFERENTIATION_IST_TE,MATCH(D46,PT_DIFFERENTIATION_IST_TE_ID,0))</f>
        <v/>
      </c>
      <c r="AE46" s="2596"/>
      <c r="AF46" s="2596"/>
      <c r="AG46" s="2596"/>
      <c r="AH46" s="2596"/>
      <c r="AI46" s="2596"/>
      <c r="AJ46" s="2596"/>
      <c r="AK46" s="2596"/>
      <c r="AL46" s="2597"/>
      <c r="AM46" s="1185" t="s">
        <v>482</v>
      </c>
      <c r="AO46" s="437"/>
      <c r="AP46" s="437" t="str">
        <f t="shared" si="1"/>
        <v xml:space="preserve">Источник тепловой энергии  </v>
      </c>
      <c r="AQ46" s="437"/>
      <c r="AR46" s="437"/>
      <c r="AS46" s="1082">
        <v>21</v>
      </c>
    </row>
    <row r="47" spans="1:45" s="1569" customFormat="1" ht="0" hidden="1" customHeight="1">
      <c r="A47" s="1270" t="s">
        <v>252</v>
      </c>
      <c r="B47" s="1270" t="s">
        <v>253</v>
      </c>
      <c r="C47" s="1270" t="s">
        <v>254</v>
      </c>
      <c r="D47" s="1270" t="s">
        <v>255</v>
      </c>
      <c r="E47" s="2602"/>
      <c r="F47" s="2602"/>
      <c r="G47" s="2602"/>
      <c r="H47" s="2602"/>
      <c r="I47" s="2603" t="str">
        <f>S46&amp;".1"</f>
        <v>....1</v>
      </c>
      <c r="J47" s="1270"/>
      <c r="K47" s="1270"/>
      <c r="L47" s="1273" t="s">
        <v>483</v>
      </c>
      <c r="M47" s="447"/>
      <c r="N47" s="447"/>
      <c r="O47" s="447"/>
      <c r="P47" s="2605">
        <v>1</v>
      </c>
      <c r="Q47" s="1258"/>
      <c r="R47" s="293"/>
      <c r="S47" s="972"/>
      <c r="T47" s="1310"/>
      <c r="U47" s="1311"/>
      <c r="V47" s="2632"/>
      <c r="W47" s="2633"/>
      <c r="X47" s="2633"/>
      <c r="Y47" s="2633"/>
      <c r="Z47" s="2633"/>
      <c r="AA47" s="2633"/>
      <c r="AB47" s="2633"/>
      <c r="AC47" s="2634"/>
      <c r="AD47" s="2632"/>
      <c r="AE47" s="2633"/>
      <c r="AF47" s="2633"/>
      <c r="AG47" s="2633"/>
      <c r="AH47" s="2633"/>
      <c r="AI47" s="2633"/>
      <c r="AJ47" s="2633"/>
      <c r="AK47" s="2633"/>
      <c r="AL47" s="2634"/>
      <c r="AM47" s="1312"/>
      <c r="AO47" s="437"/>
      <c r="AP47" s="437" t="str">
        <f t="shared" si="1"/>
        <v/>
      </c>
      <c r="AQ47" s="437"/>
      <c r="AR47" s="437"/>
      <c r="AS47" s="448">
        <v>0</v>
      </c>
    </row>
    <row r="48" spans="1:45" ht="21.95" customHeight="1">
      <c r="A48" s="1290" t="s">
        <v>252</v>
      </c>
      <c r="B48" s="1290" t="s">
        <v>253</v>
      </c>
      <c r="C48" s="1290" t="s">
        <v>254</v>
      </c>
      <c r="D48" s="1290" t="s">
        <v>255</v>
      </c>
      <c r="E48" s="2602"/>
      <c r="F48" s="2602"/>
      <c r="G48" s="2602"/>
      <c r="H48" s="2602"/>
      <c r="I48" s="2604"/>
      <c r="J48" s="2603" t="str">
        <f>S46&amp;".1"</f>
        <v>....1</v>
      </c>
      <c r="K48" s="1290"/>
      <c r="L48" s="1291" t="s">
        <v>486</v>
      </c>
      <c r="P48" s="2605"/>
      <c r="Q48" s="2605">
        <v>1</v>
      </c>
      <c r="R48" s="294"/>
      <c r="S48" s="1263" t="str">
        <f>$J48</f>
        <v>....1</v>
      </c>
      <c r="T48" s="223" t="s">
        <v>487</v>
      </c>
      <c r="U48" s="237"/>
      <c r="V48" s="2589"/>
      <c r="W48" s="2590"/>
      <c r="X48" s="2590"/>
      <c r="Y48" s="2590"/>
      <c r="Z48" s="2590"/>
      <c r="AA48" s="2590"/>
      <c r="AB48" s="2590"/>
      <c r="AC48" s="2591"/>
      <c r="AD48" s="2589"/>
      <c r="AE48" s="2590"/>
      <c r="AF48" s="2590"/>
      <c r="AG48" s="2590"/>
      <c r="AH48" s="2590"/>
      <c r="AI48" s="2590"/>
      <c r="AJ48" s="2590"/>
      <c r="AK48" s="2590"/>
      <c r="AL48" s="2591"/>
      <c r="AM48" s="1185" t="s">
        <v>488</v>
      </c>
      <c r="AO48" s="437"/>
      <c r="AP48" s="437" t="str">
        <f t="shared" si="1"/>
        <v>Группа потребителей</v>
      </c>
      <c r="AQ48" s="437"/>
      <c r="AR48" s="437"/>
      <c r="AS48" s="1082">
        <v>21</v>
      </c>
    </row>
    <row r="49" spans="1:45" ht="21.95" customHeight="1">
      <c r="A49" s="1290" t="s">
        <v>252</v>
      </c>
      <c r="B49" s="1290" t="s">
        <v>253</v>
      </c>
      <c r="C49" s="1290" t="s">
        <v>254</v>
      </c>
      <c r="D49" s="1290" t="s">
        <v>255</v>
      </c>
      <c r="E49" s="2602"/>
      <c r="F49" s="2602"/>
      <c r="G49" s="2602"/>
      <c r="H49" s="2602"/>
      <c r="I49" s="2604"/>
      <c r="J49" s="2604"/>
      <c r="K49" s="2603" t="str">
        <f>J48&amp;".1"</f>
        <v>....1.1</v>
      </c>
      <c r="L49" s="1291" t="s">
        <v>489</v>
      </c>
      <c r="P49" s="2605"/>
      <c r="Q49" s="2605"/>
      <c r="R49" s="294">
        <v>1</v>
      </c>
      <c r="S49" s="1263" t="str">
        <f>$K49</f>
        <v>....1.1</v>
      </c>
      <c r="T49" s="1274"/>
      <c r="U49" s="237"/>
      <c r="V49" s="688"/>
      <c r="W49" s="262"/>
      <c r="X49" s="688"/>
      <c r="Y49" s="1184"/>
      <c r="Z49" s="2606"/>
      <c r="AA49" s="2471" t="s">
        <v>66</v>
      </c>
      <c r="AB49" s="2606"/>
      <c r="AC49" s="2471" t="s">
        <v>66</v>
      </c>
      <c r="AD49" s="688"/>
      <c r="AE49" s="262"/>
      <c r="AF49" s="688"/>
      <c r="AG49" s="1184"/>
      <c r="AH49" s="2606"/>
      <c r="AI49" s="2471" t="s">
        <v>66</v>
      </c>
      <c r="AJ49" s="2608"/>
      <c r="AK49" s="2471" t="s">
        <v>66</v>
      </c>
      <c r="AL49" s="1275"/>
      <c r="AM49" s="2624" t="s">
        <v>528</v>
      </c>
      <c r="AN49" s="448" t="e">
        <f ca="1">STRCHECKDATE(V50:AL50)</f>
        <v>#NAME?</v>
      </c>
      <c r="AO49" s="437"/>
      <c r="AP49" s="437" t="str">
        <f t="shared" si="1"/>
        <v/>
      </c>
      <c r="AQ49" s="437"/>
      <c r="AR49" s="437"/>
      <c r="AS49" s="1082">
        <v>21</v>
      </c>
    </row>
    <row r="50" spans="1:45" ht="0" hidden="1" customHeight="1">
      <c r="A50" s="1290" t="s">
        <v>252</v>
      </c>
      <c r="B50" s="1290" t="s">
        <v>253</v>
      </c>
      <c r="C50" s="1290" t="s">
        <v>254</v>
      </c>
      <c r="D50" s="1290" t="s">
        <v>255</v>
      </c>
      <c r="E50" s="2602"/>
      <c r="F50" s="2602"/>
      <c r="G50" s="2602"/>
      <c r="H50" s="2602"/>
      <c r="I50" s="2604"/>
      <c r="J50" s="2604"/>
      <c r="K50" s="2603"/>
      <c r="L50" s="1291"/>
      <c r="P50" s="2605"/>
      <c r="Q50" s="2605"/>
      <c r="R50" s="294"/>
      <c r="S50" s="1269"/>
      <c r="T50" s="237"/>
      <c r="U50" s="237"/>
      <c r="V50" s="262"/>
      <c r="W50" s="262"/>
      <c r="X50" s="262"/>
      <c r="Y50" s="265" t="str">
        <f>Z49&amp;"-"&amp;AB49</f>
        <v>-</v>
      </c>
      <c r="Z50" s="2607"/>
      <c r="AA50" s="2471"/>
      <c r="AB50" s="2607"/>
      <c r="AC50" s="2471"/>
      <c r="AD50" s="262"/>
      <c r="AE50" s="262"/>
      <c r="AF50" s="262"/>
      <c r="AG50" s="265" t="str">
        <f>AH49&amp;"-"&amp;AJ49</f>
        <v>-</v>
      </c>
      <c r="AH50" s="2607"/>
      <c r="AI50" s="2471"/>
      <c r="AJ50" s="2609"/>
      <c r="AK50" s="2471"/>
      <c r="AL50" s="1276"/>
      <c r="AM50" s="2625"/>
      <c r="AO50" s="437"/>
      <c r="AP50" s="437" t="str">
        <f t="shared" si="1"/>
        <v/>
      </c>
      <c r="AQ50" s="437"/>
      <c r="AR50" s="437"/>
      <c r="AS50" s="1082">
        <v>0</v>
      </c>
    </row>
    <row r="51" spans="1:45" ht="11.45" customHeight="1">
      <c r="A51" s="1290" t="s">
        <v>252</v>
      </c>
      <c r="B51" s="1290" t="s">
        <v>253</v>
      </c>
      <c r="C51" s="1290" t="s">
        <v>254</v>
      </c>
      <c r="D51" s="1290" t="s">
        <v>255</v>
      </c>
      <c r="E51" s="2602"/>
      <c r="F51" s="2602"/>
      <c r="G51" s="2602"/>
      <c r="H51" s="2602"/>
      <c r="I51" s="2604"/>
      <c r="J51" s="2603"/>
      <c r="K51" s="1290"/>
      <c r="L51" s="1291"/>
      <c r="P51" s="2605"/>
      <c r="Q51" s="2605"/>
      <c r="R51" s="293"/>
      <c r="S51" s="1205"/>
      <c r="T51" s="224" t="s">
        <v>491</v>
      </c>
      <c r="U51" s="304"/>
      <c r="V51" s="304"/>
      <c r="W51" s="304"/>
      <c r="X51" s="304"/>
      <c r="Y51" s="304"/>
      <c r="Z51" s="304"/>
      <c r="AA51" s="304"/>
      <c r="AB51" s="304"/>
      <c r="AC51" s="304"/>
      <c r="AD51" s="304"/>
      <c r="AE51" s="304"/>
      <c r="AF51" s="304"/>
      <c r="AG51" s="304"/>
      <c r="AH51" s="304"/>
      <c r="AI51" s="304"/>
      <c r="AJ51" s="304"/>
      <c r="AK51" s="304"/>
      <c r="AL51" s="261"/>
      <c r="AM51" s="2626"/>
      <c r="AO51" s="437"/>
      <c r="AP51" s="437" t="str">
        <f t="shared" si="1"/>
        <v>Добавить вид теплоносителя (параметры теплоносителя)</v>
      </c>
      <c r="AQ51" s="437"/>
      <c r="AR51" s="437"/>
      <c r="AS51" s="1082">
        <v>11</v>
      </c>
    </row>
    <row r="52" spans="1:45" ht="11.45" customHeight="1">
      <c r="A52" s="1290" t="s">
        <v>252</v>
      </c>
      <c r="B52" s="1290" t="s">
        <v>253</v>
      </c>
      <c r="C52" s="1290" t="s">
        <v>254</v>
      </c>
      <c r="D52" s="1290" t="s">
        <v>255</v>
      </c>
      <c r="E52" s="2602"/>
      <c r="F52" s="2602"/>
      <c r="G52" s="2602"/>
      <c r="H52" s="2602"/>
      <c r="I52" s="2603"/>
      <c r="J52" s="1290"/>
      <c r="K52" s="1290"/>
      <c r="L52" s="1291"/>
      <c r="P52" s="2605"/>
      <c r="Q52" s="1258"/>
      <c r="R52" s="293"/>
      <c r="S52" s="1205"/>
      <c r="T52" s="302" t="s">
        <v>492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252</v>
      </c>
      <c r="B53" s="1290" t="s">
        <v>253</v>
      </c>
      <c r="C53" s="1290" t="s">
        <v>254</v>
      </c>
      <c r="D53" s="1290" t="s">
        <v>255</v>
      </c>
      <c r="E53" s="2602"/>
      <c r="F53" s="2602"/>
      <c r="G53" s="2602"/>
      <c r="H53" s="260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252</v>
      </c>
      <c r="B54" s="1270" t="s">
        <v>253</v>
      </c>
      <c r="C54" s="1270" t="s">
        <v>254</v>
      </c>
      <c r="D54" s="1241"/>
      <c r="E54" s="2602"/>
      <c r="F54" s="2602"/>
      <c r="G54" s="2601"/>
      <c r="H54" s="1241"/>
      <c r="I54" s="1241"/>
      <c r="J54" s="1241"/>
      <c r="K54" s="1241"/>
      <c r="L54" s="1266"/>
      <c r="M54" s="1242"/>
      <c r="N54" s="1242"/>
      <c r="P54" s="1243"/>
      <c r="Q54" s="1244"/>
      <c r="R54" s="1243"/>
      <c r="S54" s="1249"/>
      <c r="T54" s="1252" t="s">
        <v>494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252</v>
      </c>
      <c r="B55" s="1270" t="s">
        <v>253</v>
      </c>
      <c r="C55" s="1241"/>
      <c r="D55" s="1241"/>
      <c r="E55" s="2602"/>
      <c r="F55" s="2601"/>
      <c r="G55" s="1241"/>
      <c r="H55" s="1241"/>
      <c r="I55" s="1241"/>
      <c r="J55" s="1241"/>
      <c r="K55" s="1241"/>
      <c r="L55" s="1266"/>
      <c r="M55" s="1248"/>
      <c r="N55" s="1248"/>
      <c r="P55" s="1243"/>
      <c r="Q55" s="1244"/>
      <c r="R55" s="1243"/>
      <c r="S55" s="1249"/>
      <c r="T55" s="1252" t="s">
        <v>295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252</v>
      </c>
      <c r="B56" s="1270"/>
      <c r="C56" s="1270"/>
      <c r="D56" s="1270"/>
      <c r="E56" s="2601"/>
      <c r="F56" s="1270"/>
      <c r="G56" s="1270"/>
      <c r="H56" s="1270"/>
      <c r="I56" s="1270"/>
      <c r="J56" s="1270"/>
      <c r="K56" s="1270"/>
      <c r="L56" s="1273"/>
      <c r="M56" s="1248"/>
      <c r="N56" s="1248"/>
      <c r="O56" s="455"/>
      <c r="P56" s="317"/>
      <c r="Q56" s="1271"/>
      <c r="R56" s="317"/>
      <c r="S56" s="1249"/>
      <c r="T56" s="1252" t="s">
        <v>299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300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2">
        <v>14</v>
      </c>
    </row>
    <row r="60" spans="1:45" ht="14.65" customHeight="1">
      <c r="O60" s="474"/>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2">
        <v>14</v>
      </c>
    </row>
    <row r="61" spans="1:45" ht="14.65" customHeight="1">
      <c r="O61" s="474"/>
      <c r="T61" s="2600"/>
      <c r="U61" s="2600"/>
      <c r="V61" s="2600"/>
      <c r="W61" s="2600"/>
      <c r="X61" s="2600"/>
      <c r="Y61" s="2600"/>
      <c r="Z61" s="2600"/>
      <c r="AA61" s="2600"/>
      <c r="AB61" s="2600"/>
      <c r="AC61" s="2600"/>
      <c r="AD61" s="2600"/>
      <c r="AE61" s="2600"/>
      <c r="AF61" s="2600"/>
      <c r="AG61" s="2600"/>
      <c r="AH61" s="2600"/>
      <c r="AI61" s="2600"/>
      <c r="AJ61" s="2600"/>
      <c r="AK61" s="2600"/>
      <c r="AL61" s="2600"/>
      <c r="AM61" s="2600"/>
      <c r="AS61" s="1082">
        <v>14</v>
      </c>
    </row>
    <row r="62" spans="1:45" ht="14.65" customHeight="1">
      <c r="O62" s="474"/>
      <c r="AS62" s="1082">
        <v>14</v>
      </c>
    </row>
    <row r="63" spans="1:45" ht="14.65" customHeight="1">
      <c r="O63" s="474"/>
      <c r="S63" s="1180"/>
      <c r="T63" s="2501"/>
      <c r="U63" s="2600"/>
      <c r="V63" s="2600"/>
      <c r="W63" s="2600"/>
      <c r="X63" s="2600"/>
      <c r="Y63" s="2600"/>
      <c r="Z63" s="2600"/>
      <c r="AA63" s="2600"/>
      <c r="AB63" s="2600"/>
      <c r="AC63" s="2600"/>
      <c r="AD63" s="2600"/>
      <c r="AE63" s="2600"/>
      <c r="AF63" s="2600"/>
      <c r="AG63" s="2600"/>
      <c r="AH63" s="2600"/>
      <c r="AI63" s="2600"/>
      <c r="AJ63" s="2600"/>
      <c r="AK63" s="2600"/>
      <c r="AL63" s="2600"/>
      <c r="AM63" s="2600"/>
      <c r="AS63" s="1082">
        <v>14</v>
      </c>
    </row>
    <row r="64" spans="1:45" ht="14.65" customHeight="1">
      <c r="O64" s="474"/>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2">
        <v>14</v>
      </c>
    </row>
    <row r="65" spans="1:45" ht="14.65" customHeight="1">
      <c r="T65" s="2600"/>
      <c r="U65" s="2600"/>
      <c r="V65" s="2600"/>
      <c r="W65" s="2600"/>
      <c r="X65" s="2600"/>
      <c r="Y65" s="2600"/>
      <c r="Z65" s="2600"/>
      <c r="AA65" s="2600"/>
      <c r="AB65" s="2600"/>
      <c r="AC65" s="2600"/>
      <c r="AD65" s="2600"/>
      <c r="AE65" s="2600"/>
      <c r="AF65" s="2600"/>
      <c r="AG65" s="2600"/>
      <c r="AH65" s="2600"/>
      <c r="AI65" s="2600"/>
      <c r="AJ65" s="2600"/>
      <c r="AK65" s="2600"/>
      <c r="AL65" s="2600"/>
      <c r="AM65" s="2600"/>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9"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62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189</v>
      </c>
      <c r="W2" s="237"/>
      <c r="X2" s="2595"/>
      <c r="Y2" s="2596"/>
      <c r="Z2" s="2596"/>
      <c r="AA2" s="2596"/>
      <c r="AB2" s="2596"/>
      <c r="AC2" s="2596"/>
      <c r="AD2" s="2596"/>
      <c r="AE2" s="2596"/>
      <c r="AF2" s="2597"/>
      <c r="AG2" s="2595" t="e">
        <f>INDEX(PT_DIFFERENTIATION_NTAR,MATCH(A2,PT_DIFFERENTIATION_NTAR_ID,0))</f>
        <v>#N/A</v>
      </c>
      <c r="AH2" s="2596"/>
      <c r="AI2" s="2596"/>
      <c r="AJ2" s="2596"/>
      <c r="AK2" s="2596"/>
      <c r="AL2" s="2596"/>
      <c r="AM2" s="2596"/>
      <c r="AN2" s="2596"/>
      <c r="AO2" s="2596"/>
      <c r="AP2" s="2597"/>
      <c r="AQ2" s="1185" t="s">
        <v>476</v>
      </c>
      <c r="AS2" s="437"/>
      <c r="AT2" s="437" t="str">
        <f t="shared" ref="AT2:AT8" si="0">IF(V2="","",V2)</f>
        <v>Наименование тарифа</v>
      </c>
      <c r="AU2" s="437"/>
      <c r="AV2" s="437"/>
      <c r="AW2" s="1082">
        <v>0</v>
      </c>
    </row>
    <row r="3" spans="1:49" ht="21" hidden="1" customHeight="1">
      <c r="A3" s="1194"/>
      <c r="B3" s="1194"/>
      <c r="C3" s="1194"/>
      <c r="D3" s="1194"/>
      <c r="E3" s="2628"/>
      <c r="F3" s="2627">
        <v>1</v>
      </c>
      <c r="G3" s="1194"/>
      <c r="H3" s="1194"/>
      <c r="I3" s="1194"/>
      <c r="J3" s="1194"/>
      <c r="K3" s="1194"/>
      <c r="L3" s="1194"/>
      <c r="M3" s="1237"/>
      <c r="N3" s="625"/>
      <c r="O3" s="625"/>
      <c r="P3" s="625"/>
      <c r="Q3" s="1259"/>
      <c r="R3" s="289"/>
      <c r="S3" s="446"/>
      <c r="T3" s="290"/>
      <c r="U3" s="1263" t="e">
        <f>INDEX(PT_DIFFERENTIATION_NUM_TER,MATCH(B3,PT_DIFFERENTIATION_TER_ID,0))</f>
        <v>#N/A</v>
      </c>
      <c r="V3" s="245" t="s">
        <v>477</v>
      </c>
      <c r="W3" s="237"/>
      <c r="X3" s="2595"/>
      <c r="Y3" s="2596"/>
      <c r="Z3" s="2596"/>
      <c r="AA3" s="2596"/>
      <c r="AB3" s="2596"/>
      <c r="AC3" s="2596"/>
      <c r="AD3" s="2596"/>
      <c r="AE3" s="2596"/>
      <c r="AF3" s="2597"/>
      <c r="AG3" s="2595" t="e">
        <f>INDEX(PT_DIFFERENTIATION_TER,MATCH(B3,PT_DIFFERENTIATION_TER_ID,0))</f>
        <v>#N/A</v>
      </c>
      <c r="AH3" s="2596"/>
      <c r="AI3" s="2596"/>
      <c r="AJ3" s="2596"/>
      <c r="AK3" s="2596"/>
      <c r="AL3" s="2596"/>
      <c r="AM3" s="2596"/>
      <c r="AN3" s="2596"/>
      <c r="AO3" s="2596"/>
      <c r="AP3" s="2597"/>
      <c r="AQ3" s="1185" t="s">
        <v>478</v>
      </c>
      <c r="AS3" s="437"/>
      <c r="AT3" s="437" t="str">
        <f t="shared" si="0"/>
        <v>Территория действия тарифа</v>
      </c>
      <c r="AU3" s="437"/>
      <c r="AV3" s="437"/>
      <c r="AW3" s="1082">
        <v>0</v>
      </c>
    </row>
    <row r="4" spans="1:49" ht="22.5" hidden="1" customHeight="1">
      <c r="A4" s="1194"/>
      <c r="B4" s="1194"/>
      <c r="C4" s="1194"/>
      <c r="D4" s="1194"/>
      <c r="E4" s="2628"/>
      <c r="F4" s="2628"/>
      <c r="G4" s="2627">
        <v>1</v>
      </c>
      <c r="H4" s="1194"/>
      <c r="I4" s="1194"/>
      <c r="J4" s="1194"/>
      <c r="K4" s="1194"/>
      <c r="L4" s="1194"/>
      <c r="M4" s="1237"/>
      <c r="N4" s="625"/>
      <c r="O4" s="625"/>
      <c r="P4" s="625"/>
      <c r="Q4" s="291"/>
      <c r="R4" s="289"/>
      <c r="S4" s="446"/>
      <c r="T4" s="290"/>
      <c r="U4" s="1263" t="e">
        <f>INDEX(PT_DIFFERENTIATION_NUM_CS,MATCH(C4,PT_DIFFERENTIATION_CS_ID,0))</f>
        <v>#N/A</v>
      </c>
      <c r="V4" s="246" t="s">
        <v>479</v>
      </c>
      <c r="W4" s="237"/>
      <c r="X4" s="2595"/>
      <c r="Y4" s="2596"/>
      <c r="Z4" s="2596"/>
      <c r="AA4" s="2596"/>
      <c r="AB4" s="2596"/>
      <c r="AC4" s="2596"/>
      <c r="AD4" s="2596"/>
      <c r="AE4" s="2596"/>
      <c r="AF4" s="2597"/>
      <c r="AG4" s="2595" t="e">
        <f>INDEX(PT_DIFFERENTIATION_CS,MATCH(C4,PT_DIFFERENTIATION_CS_ID,0))</f>
        <v>#N/A</v>
      </c>
      <c r="AH4" s="2596"/>
      <c r="AI4" s="2596"/>
      <c r="AJ4" s="2596"/>
      <c r="AK4" s="2596"/>
      <c r="AL4" s="2596"/>
      <c r="AM4" s="2596"/>
      <c r="AN4" s="2596"/>
      <c r="AO4" s="2596"/>
      <c r="AP4" s="2597"/>
      <c r="AQ4" s="1185" t="s">
        <v>480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628"/>
      <c r="F5" s="2628"/>
      <c r="G5" s="2628"/>
      <c r="H5" s="2627">
        <v>1</v>
      </c>
      <c r="I5" s="1194"/>
      <c r="J5" s="1194"/>
      <c r="K5" s="1194"/>
      <c r="L5" s="1194"/>
      <c r="M5" s="1237"/>
      <c r="N5" s="625"/>
      <c r="O5" s="625"/>
      <c r="P5" s="625"/>
      <c r="Q5" s="291"/>
      <c r="R5" s="289"/>
      <c r="S5" s="446"/>
      <c r="T5" s="290"/>
      <c r="U5" s="1263" t="e">
        <f>INDEX(PT_DIFFERENTIATION_NUM_IST_TE,MATCH(D5,PT_DIFFERENTIATION_IST_TE_ID,0))</f>
        <v>#N/A</v>
      </c>
      <c r="V5" s="247" t="s">
        <v>481</v>
      </c>
      <c r="W5" s="237"/>
      <c r="X5" s="2595"/>
      <c r="Y5" s="2596"/>
      <c r="Z5" s="2596"/>
      <c r="AA5" s="2596"/>
      <c r="AB5" s="2596"/>
      <c r="AC5" s="2596"/>
      <c r="AD5" s="2596"/>
      <c r="AE5" s="2596"/>
      <c r="AF5" s="2597"/>
      <c r="AG5" s="2595" t="e">
        <f>INDEX(PT_DIFFERENTIATION_IST_TE,MATCH(D5,PT_DIFFERENTIATION_IST_TE_ID,0))</f>
        <v>#N/A</v>
      </c>
      <c r="AH5" s="2596"/>
      <c r="AI5" s="2596"/>
      <c r="AJ5" s="2596"/>
      <c r="AK5" s="2596"/>
      <c r="AL5" s="2596"/>
      <c r="AM5" s="2596"/>
      <c r="AN5" s="2596"/>
      <c r="AO5" s="2596"/>
      <c r="AP5" s="2597"/>
      <c r="AQ5" s="1185" t="s">
        <v>482</v>
      </c>
      <c r="AS5" s="437"/>
      <c r="AT5" s="437" t="str">
        <f t="shared" si="0"/>
        <v xml:space="preserve">Источник тепловой энергии  </v>
      </c>
      <c r="AU5" s="437"/>
      <c r="AV5" s="437"/>
      <c r="AW5" s="1082">
        <v>0</v>
      </c>
    </row>
    <row r="6" spans="1:49" ht="14.25" hidden="1" customHeight="1">
      <c r="A6" s="1194"/>
      <c r="B6" s="1194"/>
      <c r="C6" s="1194"/>
      <c r="D6" s="1194"/>
      <c r="E6" s="2628"/>
      <c r="F6" s="2628"/>
      <c r="G6" s="2628"/>
      <c r="H6" s="2628"/>
      <c r="I6" s="2461" t="e">
        <f>U5&amp;".1"</f>
        <v>#N/A</v>
      </c>
      <c r="J6" s="1194"/>
      <c r="K6" s="1194"/>
      <c r="L6" s="1194"/>
      <c r="M6" s="1237" t="s">
        <v>483</v>
      </c>
      <c r="N6" s="446"/>
      <c r="Q6" s="2605">
        <v>1</v>
      </c>
      <c r="R6" s="1258"/>
      <c r="S6" s="1258"/>
      <c r="T6" s="293"/>
      <c r="U6" s="972"/>
      <c r="V6" s="1310"/>
      <c r="W6" s="1311"/>
      <c r="X6" s="2632"/>
      <c r="Y6" s="2633"/>
      <c r="Z6" s="2633"/>
      <c r="AA6" s="2633"/>
      <c r="AB6" s="2633"/>
      <c r="AC6" s="2633"/>
      <c r="AD6" s="2633"/>
      <c r="AE6" s="2633"/>
      <c r="AF6" s="2634"/>
      <c r="AG6" s="2632"/>
      <c r="AH6" s="2633"/>
      <c r="AI6" s="2633"/>
      <c r="AJ6" s="2633"/>
      <c r="AK6" s="2633"/>
      <c r="AL6" s="2633"/>
      <c r="AM6" s="2633"/>
      <c r="AN6" s="2633"/>
      <c r="AO6" s="2633"/>
      <c r="AP6" s="2634"/>
      <c r="AQ6" s="1312"/>
      <c r="AS6" s="437"/>
      <c r="AT6" s="437" t="str">
        <f t="shared" si="0"/>
        <v/>
      </c>
      <c r="AU6" s="437"/>
      <c r="AV6" s="437"/>
      <c r="AW6" s="1082">
        <v>0</v>
      </c>
    </row>
    <row r="7" spans="1:49" ht="21" hidden="1" customHeight="1">
      <c r="A7" s="1194"/>
      <c r="B7" s="1194"/>
      <c r="C7" s="1194"/>
      <c r="D7" s="1194"/>
      <c r="E7" s="2628"/>
      <c r="F7" s="2628"/>
      <c r="G7" s="2628"/>
      <c r="H7" s="2628"/>
      <c r="I7" s="2442"/>
      <c r="J7" s="2461" t="e">
        <f>I6&amp;".1"</f>
        <v>#N/A</v>
      </c>
      <c r="K7" s="1194"/>
      <c r="L7" s="1194"/>
      <c r="M7" s="1237" t="s">
        <v>486</v>
      </c>
      <c r="N7" s="446"/>
      <c r="O7" s="264"/>
      <c r="Q7" s="2605"/>
      <c r="R7" s="2605">
        <v>1</v>
      </c>
      <c r="S7" s="455"/>
      <c r="T7" s="294"/>
      <c r="U7" s="1263" t="e">
        <f>$J7</f>
        <v>#N/A</v>
      </c>
      <c r="V7" s="223" t="s">
        <v>487</v>
      </c>
      <c r="W7" s="237"/>
      <c r="X7" s="2589"/>
      <c r="Y7" s="2590"/>
      <c r="Z7" s="2590"/>
      <c r="AA7" s="2590"/>
      <c r="AB7" s="2590"/>
      <c r="AC7" s="2585"/>
      <c r="AD7" s="2585"/>
      <c r="AE7" s="2585"/>
      <c r="AF7" s="2645"/>
      <c r="AG7" s="2589"/>
      <c r="AH7" s="2590"/>
      <c r="AI7" s="2590"/>
      <c r="AJ7" s="2590"/>
      <c r="AK7" s="2590"/>
      <c r="AL7" s="2590"/>
      <c r="AM7" s="2590"/>
      <c r="AN7" s="2590"/>
      <c r="AO7" s="2590"/>
      <c r="AP7" s="2591"/>
      <c r="AQ7" s="1185" t="s">
        <v>488</v>
      </c>
      <c r="AS7" s="437"/>
      <c r="AT7" s="437" t="str">
        <f t="shared" si="0"/>
        <v>Группа потребителей</v>
      </c>
      <c r="AU7" s="437"/>
      <c r="AV7" s="437"/>
      <c r="AW7" s="1082">
        <v>0</v>
      </c>
    </row>
    <row r="8" spans="1:49" ht="21" hidden="1" customHeight="1">
      <c r="A8" s="1194"/>
      <c r="B8" s="1194"/>
      <c r="C8" s="1194"/>
      <c r="D8" s="1194"/>
      <c r="E8" s="2628"/>
      <c r="F8" s="2628"/>
      <c r="G8" s="2628"/>
      <c r="H8" s="2628"/>
      <c r="I8" s="2442"/>
      <c r="J8" s="2442"/>
      <c r="K8" s="2461" t="e">
        <f>J7&amp;".1"</f>
        <v>#N/A</v>
      </c>
      <c r="L8" s="77"/>
      <c r="M8" s="1237" t="s">
        <v>489</v>
      </c>
      <c r="N8" s="446"/>
      <c r="O8" s="264"/>
      <c r="P8" s="264"/>
      <c r="Q8" s="2605"/>
      <c r="R8" s="2605"/>
      <c r="S8" s="2605">
        <v>1</v>
      </c>
      <c r="T8" s="294"/>
      <c r="U8" s="1263" t="e">
        <f>$K8</f>
        <v>#N/A</v>
      </c>
      <c r="V8" s="1274"/>
      <c r="W8" s="237"/>
      <c r="X8" s="688"/>
      <c r="Y8" s="688"/>
      <c r="Z8" s="688"/>
      <c r="AA8" s="688"/>
      <c r="AB8" s="1332"/>
      <c r="AC8" s="2606"/>
      <c r="AD8" s="2471" t="s">
        <v>66</v>
      </c>
      <c r="AE8" s="2606"/>
      <c r="AF8" s="2471" t="s">
        <v>66</v>
      </c>
      <c r="AG8" s="1334"/>
      <c r="AH8" s="688"/>
      <c r="AI8" s="688"/>
      <c r="AJ8" s="688"/>
      <c r="AK8" s="1184"/>
      <c r="AL8" s="2606"/>
      <c r="AM8" s="2471" t="s">
        <v>66</v>
      </c>
      <c r="AN8" s="2606"/>
      <c r="AO8" s="2471" t="s">
        <v>66</v>
      </c>
      <c r="AP8" s="262"/>
      <c r="AQ8" s="1234" t="s">
        <v>529</v>
      </c>
      <c r="AR8" s="448" t="e">
        <f ca="1">STRCHECKDATE(X10:AP10)</f>
        <v>#NAME?</v>
      </c>
      <c r="AS8" s="437"/>
      <c r="AT8" s="437" t="str">
        <f t="shared" si="0"/>
        <v/>
      </c>
      <c r="AU8" s="437"/>
      <c r="AV8" s="437"/>
      <c r="AW8" s="1082">
        <v>0</v>
      </c>
    </row>
    <row r="9" spans="1:49" ht="21" hidden="1" customHeight="1">
      <c r="A9" s="1194"/>
      <c r="B9" s="1194"/>
      <c r="C9" s="1194"/>
      <c r="D9" s="1194"/>
      <c r="E9" s="2628"/>
      <c r="F9" s="2628"/>
      <c r="G9" s="2628"/>
      <c r="H9" s="2628"/>
      <c r="I9" s="2442"/>
      <c r="J9" s="2442"/>
      <c r="K9" s="2442"/>
      <c r="L9" s="2461" t="e">
        <f>K8&amp;".1"</f>
        <v>#N/A</v>
      </c>
      <c r="M9" s="1237"/>
      <c r="N9" s="446"/>
      <c r="O9" s="264"/>
      <c r="P9" s="264"/>
      <c r="Q9" s="2605"/>
      <c r="R9" s="2605"/>
      <c r="S9" s="2605"/>
      <c r="T9" s="294"/>
      <c r="U9" s="1263" t="e">
        <f>$L9</f>
        <v>#N/A</v>
      </c>
      <c r="V9" s="1318"/>
      <c r="W9" s="237"/>
      <c r="X9" s="262"/>
      <c r="Y9" s="688"/>
      <c r="Z9" s="688"/>
      <c r="AA9" s="688"/>
      <c r="AB9" s="1332"/>
      <c r="AC9" s="2607"/>
      <c r="AD9" s="2471"/>
      <c r="AE9" s="2607"/>
      <c r="AF9" s="2471"/>
      <c r="AG9" s="1334"/>
      <c r="AH9" s="688"/>
      <c r="AI9" s="688"/>
      <c r="AJ9" s="688"/>
      <c r="AK9" s="1184"/>
      <c r="AL9" s="2607"/>
      <c r="AM9" s="2471"/>
      <c r="AN9" s="2607"/>
      <c r="AO9" s="2471"/>
      <c r="AP9" s="262"/>
      <c r="AQ9" s="2624" t="s">
        <v>530</v>
      </c>
      <c r="AS9" s="437"/>
      <c r="AT9" s="437"/>
      <c r="AU9" s="437"/>
      <c r="AV9" s="437"/>
      <c r="AW9" s="1082">
        <v>0</v>
      </c>
    </row>
    <row r="10" spans="1:49" ht="14.25" hidden="1" customHeight="1">
      <c r="A10" s="1194"/>
      <c r="B10" s="1194"/>
      <c r="C10" s="1194"/>
      <c r="D10" s="1194"/>
      <c r="E10" s="2628"/>
      <c r="F10" s="2628"/>
      <c r="G10" s="2628"/>
      <c r="H10" s="2628"/>
      <c r="I10" s="2442"/>
      <c r="J10" s="2442"/>
      <c r="K10" s="2442"/>
      <c r="L10" s="2461"/>
      <c r="M10" s="1237"/>
      <c r="N10" s="446"/>
      <c r="O10" s="264"/>
      <c r="P10" s="264"/>
      <c r="Q10" s="2605"/>
      <c r="R10" s="2605"/>
      <c r="S10" s="2605"/>
      <c r="T10" s="294"/>
      <c r="U10" s="1269"/>
      <c r="V10" s="237"/>
      <c r="W10" s="237"/>
      <c r="X10" s="262"/>
      <c r="Y10" s="262"/>
      <c r="Z10" s="262"/>
      <c r="AA10" s="262"/>
      <c r="AB10" s="1333" t="str">
        <f>AC8&amp;"-"&amp;AE8</f>
        <v>-</v>
      </c>
      <c r="AC10" s="2607"/>
      <c r="AD10" s="2471"/>
      <c r="AE10" s="2607"/>
      <c r="AF10" s="2471"/>
      <c r="AG10" s="1309"/>
      <c r="AH10" s="262"/>
      <c r="AI10" s="262"/>
      <c r="AJ10" s="262"/>
      <c r="AK10" s="265" t="str">
        <f>AL8&amp;"-"&amp;AN8</f>
        <v>-</v>
      </c>
      <c r="AL10" s="2607"/>
      <c r="AM10" s="2471"/>
      <c r="AN10" s="2607"/>
      <c r="AO10" s="2471"/>
      <c r="AP10" s="262"/>
      <c r="AQ10" s="2625"/>
      <c r="AS10" s="437"/>
      <c r="AT10" s="437" t="str">
        <f>IF(V10="","",V10)</f>
        <v/>
      </c>
      <c r="AU10" s="437"/>
      <c r="AV10" s="437"/>
      <c r="AW10" s="1082">
        <v>0</v>
      </c>
    </row>
    <row r="11" spans="1:49" ht="11.25" hidden="1" customHeight="1">
      <c r="A11" s="1194"/>
      <c r="B11" s="1194"/>
      <c r="C11" s="1194"/>
      <c r="D11" s="1194"/>
      <c r="E11" s="2628"/>
      <c r="F11" s="2628"/>
      <c r="G11" s="2628"/>
      <c r="H11" s="2628"/>
      <c r="I11" s="2442"/>
      <c r="J11" s="2442"/>
      <c r="K11" s="2461"/>
      <c r="L11" s="1194"/>
      <c r="M11" s="1237"/>
      <c r="N11" s="446"/>
      <c r="O11" s="264"/>
      <c r="P11" s="264"/>
      <c r="Q11" s="2605"/>
      <c r="R11" s="2605"/>
      <c r="S11" s="2605"/>
      <c r="T11" s="294"/>
      <c r="U11" s="1205"/>
      <c r="V11" s="225" t="s">
        <v>531</v>
      </c>
      <c r="W11" s="1319"/>
      <c r="X11" s="1320"/>
      <c r="Y11" s="1320"/>
      <c r="Z11" s="1320"/>
      <c r="AA11" s="1320"/>
      <c r="AB11" s="1321"/>
      <c r="AC11" s="2607"/>
      <c r="AD11" s="2471"/>
      <c r="AE11" s="2607"/>
      <c r="AF11" s="2471"/>
      <c r="AG11" s="1320"/>
      <c r="AH11" s="1320"/>
      <c r="AI11" s="1320"/>
      <c r="AJ11" s="1320"/>
      <c r="AK11" s="1321"/>
      <c r="AL11" s="2607"/>
      <c r="AM11" s="2471"/>
      <c r="AN11" s="2607"/>
      <c r="AO11" s="2471"/>
      <c r="AP11" s="1322"/>
      <c r="AQ11" s="2625"/>
      <c r="AS11" s="437"/>
      <c r="AT11" s="437"/>
      <c r="AU11" s="437"/>
      <c r="AV11" s="437"/>
      <c r="AW11" s="1082">
        <v>0</v>
      </c>
    </row>
    <row r="12" spans="1:49" ht="15" hidden="1" customHeight="1">
      <c r="A12" s="1194"/>
      <c r="B12" s="1194"/>
      <c r="C12" s="1194"/>
      <c r="D12" s="1194"/>
      <c r="E12" s="2628"/>
      <c r="F12" s="2628"/>
      <c r="G12" s="2628"/>
      <c r="H12" s="2628"/>
      <c r="I12" s="2442"/>
      <c r="J12" s="2461"/>
      <c r="K12" s="1194"/>
      <c r="L12" s="1194"/>
      <c r="M12" s="1237"/>
      <c r="N12" s="446"/>
      <c r="O12" s="264"/>
      <c r="Q12" s="2605"/>
      <c r="R12" s="2605"/>
      <c r="S12" s="1258"/>
      <c r="T12" s="293"/>
      <c r="U12" s="1205"/>
      <c r="V12" s="224" t="s">
        <v>491</v>
      </c>
      <c r="W12" s="304"/>
      <c r="X12" s="304"/>
      <c r="Y12" s="304"/>
      <c r="Z12" s="304"/>
      <c r="AA12" s="304"/>
      <c r="AB12" s="304"/>
      <c r="AC12" s="1335"/>
      <c r="AD12" s="1335"/>
      <c r="AE12" s="1335"/>
      <c r="AF12" s="1335"/>
      <c r="AG12" s="304"/>
      <c r="AH12" s="304"/>
      <c r="AI12" s="304"/>
      <c r="AJ12" s="304"/>
      <c r="AK12" s="304"/>
      <c r="AL12" s="304"/>
      <c r="AM12" s="304"/>
      <c r="AN12" s="304"/>
      <c r="AO12" s="304"/>
      <c r="AP12" s="261"/>
      <c r="AQ12" s="262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628"/>
      <c r="F13" s="2628"/>
      <c r="G13" s="2628"/>
      <c r="H13" s="2628"/>
      <c r="I13" s="2461"/>
      <c r="J13" s="1194"/>
      <c r="K13" s="1194"/>
      <c r="L13" s="1194"/>
      <c r="M13" s="1237"/>
      <c r="N13" s="446"/>
      <c r="Q13" s="2605"/>
      <c r="R13" s="1258"/>
      <c r="S13" s="1258"/>
      <c r="T13" s="293"/>
      <c r="U13" s="1205"/>
      <c r="V13" s="302" t="s">
        <v>492</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628"/>
      <c r="F14" s="2628"/>
      <c r="G14" s="2628"/>
      <c r="H14" s="262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628"/>
      <c r="F15" s="2628"/>
      <c r="G15" s="2627"/>
      <c r="H15" s="1301"/>
      <c r="I15" s="1301"/>
      <c r="J15" s="1301"/>
      <c r="K15" s="1301"/>
      <c r="L15" s="1301"/>
      <c r="M15" s="1304"/>
      <c r="N15" s="1305"/>
      <c r="O15" s="1305"/>
      <c r="P15" s="288"/>
      <c r="Q15" s="1243"/>
      <c r="R15" s="1244"/>
      <c r="S15" s="1243"/>
      <c r="T15" s="1243"/>
      <c r="U15" s="1245"/>
      <c r="V15" s="1246" t="s">
        <v>494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628"/>
      <c r="F16" s="2627"/>
      <c r="G16" s="1301"/>
      <c r="H16" s="1301"/>
      <c r="I16" s="1301"/>
      <c r="J16" s="1301"/>
      <c r="K16" s="1301"/>
      <c r="L16" s="1301"/>
      <c r="M16" s="1304"/>
      <c r="N16" s="1306"/>
      <c r="O16" s="1306"/>
      <c r="P16" s="288"/>
      <c r="Q16" s="1243"/>
      <c r="R16" s="1244"/>
      <c r="S16" s="1243"/>
      <c r="T16" s="1243"/>
      <c r="U16" s="1249"/>
      <c r="V16" s="1250" t="s">
        <v>295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627"/>
      <c r="F17" s="1301"/>
      <c r="G17" s="1301"/>
      <c r="H17" s="1301"/>
      <c r="I17" s="1301"/>
      <c r="J17" s="1301"/>
      <c r="K17" s="1301"/>
      <c r="L17" s="1301"/>
      <c r="M17" s="1304"/>
      <c r="N17" s="1306"/>
      <c r="O17" s="1306"/>
      <c r="P17" s="288"/>
      <c r="Q17" s="1243"/>
      <c r="R17" s="1244"/>
      <c r="S17" s="1243"/>
      <c r="T17" s="1243"/>
      <c r="U17" s="1249"/>
      <c r="V17" s="1252" t="s">
        <v>299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599"/>
      <c r="AM19" s="2598" t="s">
        <v>66</v>
      </c>
      <c r="AN19" s="2599"/>
      <c r="AO19" s="2598" t="s">
        <v>66</v>
      </c>
      <c r="AW19" s="1082">
        <v>0</v>
      </c>
    </row>
    <row r="20" spans="1:49" ht="14.25" hidden="1" customHeight="1">
      <c r="AG20" s="1287"/>
      <c r="AH20" s="1287"/>
      <c r="AI20" s="1287"/>
      <c r="AJ20" s="1287"/>
      <c r="AK20" s="1288"/>
      <c r="AL20" s="2599"/>
      <c r="AM20" s="2598"/>
      <c r="AN20" s="2599"/>
      <c r="AO20" s="2598"/>
      <c r="AW20" s="1082">
        <v>0</v>
      </c>
    </row>
    <row r="21" spans="1:49" ht="14.25" hidden="1" customHeight="1">
      <c r="AG21" s="1287"/>
      <c r="AH21" s="1287"/>
      <c r="AI21" s="1287"/>
      <c r="AJ21" s="1287"/>
      <c r="AK21" s="1288"/>
      <c r="AL21" s="2599"/>
      <c r="AM21" s="2598"/>
      <c r="AN21" s="2599"/>
      <c r="AO21" s="2598"/>
      <c r="AW21" s="1082">
        <v>0</v>
      </c>
    </row>
    <row r="22" spans="1:49" ht="14.25" hidden="1" customHeight="1">
      <c r="AG22" s="1287"/>
      <c r="AH22" s="1287"/>
      <c r="AI22" s="1287"/>
      <c r="AJ22" s="1287"/>
      <c r="AK22" s="265" t="str">
        <f>AL19&amp;"-"&amp;AN19</f>
        <v>-</v>
      </c>
      <c r="AL22" s="2598"/>
      <c r="AM22" s="2598"/>
      <c r="AN22" s="2598"/>
      <c r="AO22" s="259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495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496</v>
      </c>
      <c r="Q26" s="1289"/>
      <c r="R26" s="1298"/>
      <c r="S26" s="1298"/>
      <c r="T26" s="1298"/>
      <c r="U26" s="666"/>
      <c r="V26" s="1087" t="s">
        <v>497</v>
      </c>
      <c r="AD26" s="123" t="s">
        <v>498</v>
      </c>
      <c r="AF26" s="123" t="s">
        <v>499</v>
      </c>
      <c r="AG26" s="1087" t="s">
        <v>497</v>
      </c>
      <c r="AM26" s="123" t="s">
        <v>500</v>
      </c>
      <c r="AO26" s="123" t="s">
        <v>499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58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82"/>
      <c r="W30" s="2582"/>
      <c r="X30" s="2582"/>
      <c r="Y30" s="2582"/>
      <c r="Z30" s="2582"/>
      <c r="AA30" s="2582"/>
      <c r="AB30" s="2582"/>
      <c r="AC30" s="2582"/>
      <c r="AD30" s="2582"/>
      <c r="AE30" s="2582"/>
      <c r="AF30" s="2582"/>
      <c r="AG30" s="2582"/>
      <c r="AH30" s="2582"/>
      <c r="AI30" s="2582"/>
      <c r="AJ30" s="2582"/>
      <c r="AK30" s="2582"/>
      <c r="AL30" s="2582"/>
      <c r="AM30" s="2582"/>
      <c r="AN30" s="2582"/>
      <c r="AO30" s="1170"/>
      <c r="AW30" s="1082">
        <v>54</v>
      </c>
    </row>
    <row r="31" spans="1:49" ht="14.65" customHeight="1">
      <c r="R31" s="313"/>
      <c r="S31" s="313"/>
      <c r="T31" s="313"/>
      <c r="U31"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555"/>
      <c r="W31" s="2555"/>
      <c r="X31" s="2555"/>
      <c r="Y31" s="2555"/>
      <c r="Z31" s="2555"/>
      <c r="AA31" s="2555"/>
      <c r="AB31" s="2555"/>
      <c r="AC31" s="2555"/>
      <c r="AD31" s="2555"/>
      <c r="AE31" s="2555"/>
      <c r="AF31" s="2555"/>
      <c r="AG31" s="2555"/>
      <c r="AH31" s="2555"/>
      <c r="AI31" s="2555"/>
      <c r="AJ31" s="2555"/>
      <c r="AK31" s="2555"/>
      <c r="AL31" s="2555"/>
      <c r="AM31" s="2555"/>
      <c r="AN31" s="2555"/>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592" t="s">
        <v>42</v>
      </c>
      <c r="V33" s="2592"/>
      <c r="W33" s="1299"/>
      <c r="X33" s="2594" t="str">
        <f>IF(TITLE_NAME_OR_PR_CHANGE="",IF(TITLE_NAME_OR_PR="","",TITLE_NAME_OR_PR),TITLE_NAME_OR_PR_CHANGE)</f>
        <v>Региональная служба по тарифам Ростовской области</v>
      </c>
      <c r="Y33" s="2594"/>
      <c r="Z33" s="2594"/>
      <c r="AA33" s="2594"/>
      <c r="AB33" s="2594"/>
      <c r="AC33" s="2594"/>
      <c r="AD33" s="2594"/>
      <c r="AE33" s="2594"/>
      <c r="AF33" s="263"/>
      <c r="AG33" s="2594" t="str">
        <f>IF(TITLE_NAME_OR_PR_CHANGE="",IF(TITLE_NAME_OR_PR="","",TITLE_NAME_OR_PR),TITLE_NAME_OR_PR_CHANGE)</f>
        <v>Региональная служба по тарифам Ростовской области</v>
      </c>
      <c r="AH33" s="2594"/>
      <c r="AI33" s="2594"/>
      <c r="AJ33" s="2594"/>
      <c r="AK33" s="2594"/>
      <c r="AL33" s="2594"/>
      <c r="AM33" s="2594"/>
      <c r="AN33" s="2594"/>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592" t="s">
        <v>501</v>
      </c>
      <c r="V34" s="2592"/>
      <c r="W34" s="1299"/>
      <c r="X34" s="2593">
        <f>IF(TITLE_DATE_PR_CHANGE="",IF(TITLE_DATE_PR="","",TITLE_DATE_PR),TITLE_DATE_PR_CHANGE)</f>
        <v>45596.468541666669</v>
      </c>
      <c r="Y34" s="2593"/>
      <c r="Z34" s="2593"/>
      <c r="AA34" s="2593"/>
      <c r="AB34" s="2593"/>
      <c r="AC34" s="2593"/>
      <c r="AD34" s="2593"/>
      <c r="AE34" s="2593"/>
      <c r="AF34" s="263"/>
      <c r="AG34" s="2593">
        <f>IF(TITLE_DATE_PR_CHANGE="",IF(TITLE_DATE_PR="","",TITLE_DATE_PR),TITLE_DATE_PR_CHANGE)</f>
        <v>45596.468541666669</v>
      </c>
      <c r="AH34" s="2593"/>
      <c r="AI34" s="2593"/>
      <c r="AJ34" s="2593"/>
      <c r="AK34" s="2593"/>
      <c r="AL34" s="2593"/>
      <c r="AM34" s="2593"/>
      <c r="AN34" s="2593"/>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592" t="s">
        <v>502</v>
      </c>
      <c r="V35" s="2592"/>
      <c r="W35" s="1299"/>
      <c r="X35" s="2594" t="str">
        <f>IF(TITLE_NUMBER_PR_CHANGE="",IF(TITLE_NUMBER_PR="","",TITLE_NUMBER_PR),TITLE_NUMBER_PR_CHANGE)</f>
        <v>440,503</v>
      </c>
      <c r="Y35" s="2594"/>
      <c r="Z35" s="2594"/>
      <c r="AA35" s="2594"/>
      <c r="AB35" s="2594"/>
      <c r="AC35" s="2594"/>
      <c r="AD35" s="2594"/>
      <c r="AE35" s="2594"/>
      <c r="AF35" s="263"/>
      <c r="AG35" s="2594" t="str">
        <f>IF(TITLE_NUMBER_PR_CHANGE="",IF(TITLE_NUMBER_PR="","",TITLE_NUMBER_PR),TITLE_NUMBER_PR_CHANGE)</f>
        <v>440,503</v>
      </c>
      <c r="AH35" s="2594"/>
      <c r="AI35" s="2594"/>
      <c r="AJ35" s="2594"/>
      <c r="AK35" s="2594"/>
      <c r="AL35" s="2594"/>
      <c r="AM35" s="2594"/>
      <c r="AN35" s="2594"/>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592" t="s">
        <v>44</v>
      </c>
      <c r="V36" s="2592"/>
      <c r="W36" s="1299"/>
      <c r="X36" s="2594" t="str">
        <f>IF(TITLE_IST_PUB_CHANGE="",IF(TITLE_IST_PUB="","",TITLE_IST_PUB),TITLE_IST_PUB_CHANGE)</f>
        <v>Региональная служба по тарифам Ростовской области</v>
      </c>
      <c r="Y36" s="2594"/>
      <c r="Z36" s="2594"/>
      <c r="AA36" s="2594"/>
      <c r="AB36" s="2594"/>
      <c r="AC36" s="2594"/>
      <c r="AD36" s="2594"/>
      <c r="AE36" s="2594"/>
      <c r="AF36" s="263"/>
      <c r="AG36" s="2594" t="str">
        <f>IF(TITLE_IST_PUB_CHANGE="",IF(TITLE_IST_PUB="","",TITLE_IST_PUB),TITLE_IST_PUB_CHANGE)</f>
        <v>Региональная служба по тарифам Ростовской области</v>
      </c>
      <c r="AH36" s="2594"/>
      <c r="AI36" s="2594"/>
      <c r="AJ36" s="2594"/>
      <c r="AK36" s="2594"/>
      <c r="AL36" s="2594"/>
      <c r="AM36" s="2594"/>
      <c r="AN36" s="259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592" t="s">
        <v>503</v>
      </c>
      <c r="V38" s="2592"/>
      <c r="W38" s="1299"/>
      <c r="X38" s="2593">
        <f>IF(TITLE_DATE_PR_CHANGE="",IF(TITLE_DATE_PR="","",TITLE_DATE_PR),TITLE_DATE_PR_CHANGE)</f>
        <v>45596.468541666669</v>
      </c>
      <c r="Y38" s="2593"/>
      <c r="Z38" s="2593"/>
      <c r="AA38" s="2593"/>
      <c r="AB38" s="2593"/>
      <c r="AC38" s="2593"/>
      <c r="AD38" s="2593"/>
      <c r="AE38" s="2593"/>
      <c r="AF38" s="263"/>
      <c r="AG38" s="2593">
        <f>IF(TITLE_DATE_PR_CHANGE="",IF(TITLE_DATE_PR="","",TITLE_DATE_PR),TITLE_DATE_PR_CHANGE)</f>
        <v>45596.468541666669</v>
      </c>
      <c r="AH38" s="2593"/>
      <c r="AI38" s="2593"/>
      <c r="AJ38" s="2593"/>
      <c r="AK38" s="2593"/>
      <c r="AL38" s="2593"/>
      <c r="AM38" s="2593"/>
      <c r="AN38" s="259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592" t="s">
        <v>504</v>
      </c>
      <c r="V39" s="2592"/>
      <c r="W39" s="1299"/>
      <c r="X39" s="2594" t="str">
        <f>IF(TITLE_NUMBER_PR_CHANGE="",IF(TITLE_NUMBER_PR="","",TITLE_NUMBER_PR),TITLE_NUMBER_PR_CHANGE)</f>
        <v>440,503</v>
      </c>
      <c r="Y39" s="2594"/>
      <c r="Z39" s="2594"/>
      <c r="AA39" s="2594"/>
      <c r="AB39" s="2594"/>
      <c r="AC39" s="2594"/>
      <c r="AD39" s="2594"/>
      <c r="AE39" s="2594"/>
      <c r="AF39" s="263"/>
      <c r="AG39" s="2594" t="str">
        <f>IF(TITLE_NUMBER_PR_CHANGE="",IF(TITLE_NUMBER_PR="","",TITLE_NUMBER_PR),TITLE_NUMBER_PR_CHANGE)</f>
        <v>440,503</v>
      </c>
      <c r="AH39" s="2594"/>
      <c r="AI39" s="2594"/>
      <c r="AJ39" s="2594"/>
      <c r="AK39" s="2594"/>
      <c r="AL39" s="2594"/>
      <c r="AM39" s="2594"/>
      <c r="AN39" s="259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505</v>
      </c>
      <c r="AG40" s="263"/>
      <c r="AH40" s="263"/>
      <c r="AI40" s="263"/>
      <c r="AJ40" s="263"/>
      <c r="AK40" s="263"/>
      <c r="AL40" s="263"/>
      <c r="AM40" s="263"/>
      <c r="AN40" s="263"/>
      <c r="AO40" s="215" t="s">
        <v>505</v>
      </c>
      <c r="AR40" s="305"/>
      <c r="AS40" s="305"/>
      <c r="AT40" s="305"/>
      <c r="AU40" s="305"/>
      <c r="AV40" s="305"/>
      <c r="AW40" s="355">
        <v>0</v>
      </c>
    </row>
    <row r="41" spans="1:49" ht="14.65" customHeight="1">
      <c r="R41" s="313"/>
      <c r="S41" s="313"/>
      <c r="T41" s="313"/>
      <c r="U41" s="1202"/>
      <c r="V41" s="300"/>
      <c r="W41" s="1171"/>
      <c r="X41" s="2613"/>
      <c r="Y41" s="2613"/>
      <c r="Z41" s="2613"/>
      <c r="AA41" s="2613"/>
      <c r="AB41" s="2613"/>
      <c r="AC41" s="2613"/>
      <c r="AD41" s="2613"/>
      <c r="AE41" s="2613"/>
      <c r="AF41" s="2613"/>
      <c r="AG41" s="2613"/>
      <c r="AH41" s="2613"/>
      <c r="AI41" s="2613"/>
      <c r="AJ41" s="2613"/>
      <c r="AK41" s="2613"/>
      <c r="AL41" s="2613"/>
      <c r="AM41" s="2613"/>
      <c r="AN41" s="2613"/>
      <c r="AO41" s="2613"/>
      <c r="AW41" s="1082">
        <v>14</v>
      </c>
    </row>
    <row r="42" spans="1:49" ht="14.65" customHeight="1">
      <c r="R42" s="313"/>
      <c r="S42" s="313"/>
      <c r="T42" s="313"/>
      <c r="U42" s="2461" t="s">
        <v>380</v>
      </c>
      <c r="V42" s="2461"/>
      <c r="W42" s="2461"/>
      <c r="X42" s="2461"/>
      <c r="Y42" s="2461"/>
      <c r="Z42" s="2461"/>
      <c r="AA42" s="2461"/>
      <c r="AB42" s="2461"/>
      <c r="AC42" s="2461"/>
      <c r="AD42" s="2461"/>
      <c r="AE42" s="2461"/>
      <c r="AF42" s="2461"/>
      <c r="AG42" s="2461"/>
      <c r="AH42" s="2461"/>
      <c r="AI42" s="2461"/>
      <c r="AJ42" s="2461"/>
      <c r="AK42" s="2461"/>
      <c r="AL42" s="2461"/>
      <c r="AM42" s="2461"/>
      <c r="AN42" s="2461"/>
      <c r="AO42" s="2461"/>
      <c r="AP42" s="2461"/>
      <c r="AQ42" s="2461" t="s">
        <v>381</v>
      </c>
      <c r="AW42" s="1082">
        <v>14</v>
      </c>
    </row>
    <row r="43" spans="1:49" ht="14.65" customHeight="1">
      <c r="R43" s="313"/>
      <c r="S43" s="313"/>
      <c r="T43" s="313"/>
      <c r="U43" s="2614" t="s">
        <v>88</v>
      </c>
      <c r="V43" s="2563" t="s">
        <v>506</v>
      </c>
      <c r="W43" s="238"/>
      <c r="X43" s="2615" t="s">
        <v>507</v>
      </c>
      <c r="Y43" s="2631"/>
      <c r="Z43" s="2631"/>
      <c r="AA43" s="2631"/>
      <c r="AB43" s="2631"/>
      <c r="AC43" s="2616"/>
      <c r="AD43" s="2616"/>
      <c r="AE43" s="2617"/>
      <c r="AF43" s="2618" t="s">
        <v>508</v>
      </c>
      <c r="AG43" s="2615" t="s">
        <v>507</v>
      </c>
      <c r="AH43" s="2631"/>
      <c r="AI43" s="2631"/>
      <c r="AJ43" s="2631"/>
      <c r="AK43" s="2631"/>
      <c r="AL43" s="2616"/>
      <c r="AM43" s="2616"/>
      <c r="AN43" s="2617"/>
      <c r="AO43" s="2618" t="s">
        <v>509</v>
      </c>
      <c r="AP43" s="2621" t="s">
        <v>510</v>
      </c>
      <c r="AQ43" s="2461"/>
      <c r="AW43" s="1082">
        <v>14</v>
      </c>
    </row>
    <row r="44" spans="1:49" ht="35.65" customHeight="1">
      <c r="R44" s="313"/>
      <c r="S44" s="313"/>
      <c r="T44" s="313"/>
      <c r="U44" s="2614"/>
      <c r="V44" s="2563"/>
      <c r="W44" s="961"/>
      <c r="X44" s="2536" t="s">
        <v>532</v>
      </c>
      <c r="Y44" s="2461" t="s">
        <v>533</v>
      </c>
      <c r="Z44" s="2461"/>
      <c r="AA44" s="2461"/>
      <c r="AB44" s="2461"/>
      <c r="AC44" s="2536" t="s">
        <v>514</v>
      </c>
      <c r="AD44" s="2643"/>
      <c r="AE44" s="2537"/>
      <c r="AF44" s="2619"/>
      <c r="AG44" s="2536" t="s">
        <v>532</v>
      </c>
      <c r="AH44" s="2461" t="s">
        <v>533</v>
      </c>
      <c r="AI44" s="2461"/>
      <c r="AJ44" s="2461"/>
      <c r="AK44" s="2461"/>
      <c r="AL44" s="2536" t="s">
        <v>514</v>
      </c>
      <c r="AM44" s="2643"/>
      <c r="AN44" s="2537"/>
      <c r="AO44" s="2619"/>
      <c r="AP44" s="2622"/>
      <c r="AQ44" s="2461"/>
      <c r="AW44" s="1082">
        <v>34</v>
      </c>
    </row>
    <row r="45" spans="1:49" ht="14.65" customHeight="1">
      <c r="R45" s="313"/>
      <c r="S45" s="313"/>
      <c r="T45" s="313"/>
      <c r="U45" s="2614"/>
      <c r="V45" s="2563"/>
      <c r="W45" s="961"/>
      <c r="X45" s="2538"/>
      <c r="Y45" s="2569" t="s">
        <v>534</v>
      </c>
      <c r="Z45" s="2568" t="s">
        <v>535</v>
      </c>
      <c r="AA45" s="2580"/>
      <c r="AB45" s="2581"/>
      <c r="AC45" s="2541"/>
      <c r="AD45" s="2644"/>
      <c r="AE45" s="2542"/>
      <c r="AF45" s="2619"/>
      <c r="AG45" s="2538"/>
      <c r="AH45" s="2569" t="s">
        <v>534</v>
      </c>
      <c r="AI45" s="2568" t="s">
        <v>535</v>
      </c>
      <c r="AJ45" s="2580"/>
      <c r="AK45" s="2581"/>
      <c r="AL45" s="2541"/>
      <c r="AM45" s="2644"/>
      <c r="AN45" s="2542"/>
      <c r="AO45" s="2619"/>
      <c r="AP45" s="2622"/>
      <c r="AQ45" s="2461"/>
      <c r="AW45" s="1082">
        <v>14</v>
      </c>
    </row>
    <row r="46" spans="1:49" ht="27.4" customHeight="1">
      <c r="R46" s="313"/>
      <c r="S46" s="313"/>
      <c r="T46" s="313"/>
      <c r="U46" s="2614"/>
      <c r="V46" s="2563"/>
      <c r="W46" s="961"/>
      <c r="X46" s="2538"/>
      <c r="Y46" s="2642"/>
      <c r="Z46" s="2569" t="s">
        <v>536</v>
      </c>
      <c r="AA46" s="2568" t="s">
        <v>537</v>
      </c>
      <c r="AB46" s="2581"/>
      <c r="AC46" s="2569" t="s">
        <v>524</v>
      </c>
      <c r="AD46" s="2573" t="s">
        <v>525</v>
      </c>
      <c r="AE46" s="2571"/>
      <c r="AF46" s="2619"/>
      <c r="AG46" s="2538"/>
      <c r="AH46" s="2642"/>
      <c r="AI46" s="2569" t="s">
        <v>536</v>
      </c>
      <c r="AJ46" s="2568" t="s">
        <v>537</v>
      </c>
      <c r="AK46" s="2581"/>
      <c r="AL46" s="2569" t="s">
        <v>524</v>
      </c>
      <c r="AM46" s="2573" t="s">
        <v>525</v>
      </c>
      <c r="AN46" s="2571"/>
      <c r="AO46" s="2619"/>
      <c r="AP46" s="2622"/>
      <c r="AQ46" s="2461"/>
      <c r="AW46" s="1082">
        <v>26</v>
      </c>
    </row>
    <row r="47" spans="1:49" ht="65.25" customHeight="1">
      <c r="A47" s="1186"/>
      <c r="B47" s="1186" t="s">
        <v>201</v>
      </c>
      <c r="C47" s="1186" t="s">
        <v>202</v>
      </c>
      <c r="D47" s="1186" t="s">
        <v>203</v>
      </c>
      <c r="E47" s="1237" t="s">
        <v>515</v>
      </c>
      <c r="F47" s="1237" t="s">
        <v>516</v>
      </c>
      <c r="G47" s="1237" t="s">
        <v>517</v>
      </c>
      <c r="H47" s="1237" t="s">
        <v>518</v>
      </c>
      <c r="I47" s="1237" t="s">
        <v>519</v>
      </c>
      <c r="J47" s="1237" t="s">
        <v>520</v>
      </c>
      <c r="K47" s="1237" t="s">
        <v>521</v>
      </c>
      <c r="L47" s="1237" t="s">
        <v>538</v>
      </c>
      <c r="M47" s="1237" t="s">
        <v>496</v>
      </c>
      <c r="R47" s="313"/>
      <c r="S47" s="313"/>
      <c r="T47" s="313"/>
      <c r="U47" s="2614"/>
      <c r="V47" s="2563"/>
      <c r="W47" s="239"/>
      <c r="X47" s="2541"/>
      <c r="Y47" s="2570"/>
      <c r="Z47" s="2570"/>
      <c r="AA47" s="1149" t="s">
        <v>539</v>
      </c>
      <c r="AB47" s="1149" t="s">
        <v>540</v>
      </c>
      <c r="AC47" s="2570"/>
      <c r="AD47" s="2574"/>
      <c r="AE47" s="2572"/>
      <c r="AF47" s="2620"/>
      <c r="AG47" s="2541"/>
      <c r="AH47" s="2570"/>
      <c r="AI47" s="2570"/>
      <c r="AJ47" s="1149" t="s">
        <v>539</v>
      </c>
      <c r="AK47" s="1149" t="s">
        <v>540</v>
      </c>
      <c r="AL47" s="2570"/>
      <c r="AM47" s="2574"/>
      <c r="AN47" s="2572"/>
      <c r="AO47" s="2620"/>
      <c r="AP47" s="2623"/>
      <c r="AQ47" s="246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177</v>
      </c>
      <c r="V48" s="1182" t="s">
        <v>102</v>
      </c>
      <c r="W48" s="1172" t="str">
        <f ca="1">OFFSET(W48,0,-1)</f>
        <v>2</v>
      </c>
      <c r="X48" s="1262">
        <f ca="1">OFFSET(X48,0,-1)+1</f>
        <v>3</v>
      </c>
      <c r="Y48" s="1268"/>
      <c r="Z48" s="1268"/>
      <c r="AA48" s="1268">
        <f ca="1">OFFSET(AA48,0,-1)+1</f>
        <v>1</v>
      </c>
      <c r="AB48" s="1268">
        <f ca="1">OFFSET(AB48,0,-1)+1</f>
        <v>2</v>
      </c>
      <c r="AC48" s="1262">
        <f ca="1">OFFSET(AC48,0,-1)+1</f>
        <v>3</v>
      </c>
      <c r="AD48" s="2612">
        <f ca="1">OFFSET(AD48,0,-1)+1</f>
        <v>4</v>
      </c>
      <c r="AE48" s="2612"/>
      <c r="AF48" s="1262">
        <f ca="1">OFFSET(AF48,0,-2)+1</f>
        <v>5</v>
      </c>
      <c r="AG48" s="1262">
        <f ca="1">OFFSET(AG48,0,-1)+1</f>
        <v>6</v>
      </c>
      <c r="AH48" s="1262"/>
      <c r="AI48" s="1262"/>
      <c r="AJ48" s="1262">
        <f ca="1">OFFSET(AJ48,0,-1)+1</f>
        <v>1</v>
      </c>
      <c r="AK48" s="1262">
        <f ca="1">OFFSET(AK48,0,-1)+1</f>
        <v>2</v>
      </c>
      <c r="AL48" s="1262">
        <f ca="1">OFFSET(AL48,0,-1)+1</f>
        <v>3</v>
      </c>
      <c r="AM48" s="2612">
        <f ca="1">OFFSET(AM48,0,-1)+1</f>
        <v>4</v>
      </c>
      <c r="AN48" s="2612"/>
      <c r="AO48" s="1262">
        <f ca="1">OFFSET(AO48,0,-2)+1</f>
        <v>5</v>
      </c>
      <c r="AP48" s="1172">
        <f ca="1">OFFSET(AP48,0,-1)</f>
        <v>5</v>
      </c>
      <c r="AQ48" s="1262">
        <f ca="1">OFFSET(AQ48,0,-1)+1</f>
        <v>6</v>
      </c>
      <c r="AR48" s="448"/>
      <c r="AS48" s="448"/>
      <c r="AT48" s="448"/>
      <c r="AU48" s="448"/>
      <c r="AV48" s="448"/>
      <c r="AW48" s="433">
        <v>0</v>
      </c>
    </row>
    <row r="49" spans="1:49" ht="21.95" customHeight="1">
      <c r="A49" s="1194" t="s">
        <v>240</v>
      </c>
      <c r="B49" s="1194"/>
      <c r="C49" s="1194"/>
      <c r="D49" s="1194"/>
      <c r="E49" s="262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189</v>
      </c>
      <c r="W49" s="237"/>
      <c r="X49" s="2595"/>
      <c r="Y49" s="2596"/>
      <c r="Z49" s="2596"/>
      <c r="AA49" s="2596"/>
      <c r="AB49" s="2596"/>
      <c r="AC49" s="2596"/>
      <c r="AD49" s="2596"/>
      <c r="AE49" s="2596"/>
      <c r="AF49" s="2597"/>
      <c r="AG49" s="2595" t="str">
        <f>INDEX(PT_DIFFERENTIATION_NTAR,MATCH(A49,PT_DIFFERENTIATION_NTAR_ID,0))</f>
        <v/>
      </c>
      <c r="AH49" s="2596"/>
      <c r="AI49" s="2596"/>
      <c r="AJ49" s="2596"/>
      <c r="AK49" s="2596"/>
      <c r="AL49" s="2596"/>
      <c r="AM49" s="2596"/>
      <c r="AN49" s="2596"/>
      <c r="AO49" s="2596"/>
      <c r="AP49" s="259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240</v>
      </c>
      <c r="B50" s="1194" t="s">
        <v>241</v>
      </c>
      <c r="C50" s="1194"/>
      <c r="D50" s="1194"/>
      <c r="E50" s="2628"/>
      <c r="F50" s="262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477</v>
      </c>
      <c r="W50" s="237"/>
      <c r="X50" s="2595"/>
      <c r="Y50" s="2596"/>
      <c r="Z50" s="2596"/>
      <c r="AA50" s="2596"/>
      <c r="AB50" s="2596"/>
      <c r="AC50" s="2596"/>
      <c r="AD50" s="2596"/>
      <c r="AE50" s="2596"/>
      <c r="AF50" s="2597"/>
      <c r="AG50" s="2595" t="str">
        <f>INDEX(PT_DIFFERENTIATION_TER,MATCH(B50,PT_DIFFERENTIATION_TER_ID,0))</f>
        <v/>
      </c>
      <c r="AH50" s="2596"/>
      <c r="AI50" s="2596"/>
      <c r="AJ50" s="2596"/>
      <c r="AK50" s="2596"/>
      <c r="AL50" s="2596"/>
      <c r="AM50" s="2596"/>
      <c r="AN50" s="2596"/>
      <c r="AO50" s="2596"/>
      <c r="AP50" s="2597"/>
      <c r="AQ50" s="1185" t="s">
        <v>478</v>
      </c>
      <c r="AS50" s="437"/>
      <c r="AT50" s="437" t="str">
        <f t="shared" si="2"/>
        <v>Территория действия тарифа</v>
      </c>
      <c r="AU50" s="437"/>
      <c r="AV50" s="437"/>
      <c r="AW50" s="1082">
        <v>21</v>
      </c>
    </row>
    <row r="51" spans="1:49" ht="24" customHeight="1">
      <c r="A51" s="1194" t="s">
        <v>240</v>
      </c>
      <c r="B51" s="1194" t="s">
        <v>241</v>
      </c>
      <c r="C51" s="1194" t="s">
        <v>242</v>
      </c>
      <c r="D51" s="1194"/>
      <c r="E51" s="2628"/>
      <c r="F51" s="2628"/>
      <c r="G51" s="2627">
        <v>1</v>
      </c>
      <c r="H51" s="1194"/>
      <c r="I51" s="1194"/>
      <c r="J51" s="1194"/>
      <c r="K51" s="1194"/>
      <c r="L51" s="1194"/>
      <c r="M51" s="1237"/>
      <c r="N51" s="625"/>
      <c r="O51" s="625"/>
      <c r="P51" s="625"/>
      <c r="Q51" s="291"/>
      <c r="R51" s="289"/>
      <c r="S51" s="446"/>
      <c r="T51" s="290"/>
      <c r="U51" s="1263" t="str">
        <f>INDEX(PT_DIFFERENTIATION_NUM_CS,MATCH(C51,PT_DIFFERENTIATION_CS_ID,0))</f>
        <v>..</v>
      </c>
      <c r="V51" s="246" t="s">
        <v>479</v>
      </c>
      <c r="W51" s="237"/>
      <c r="X51" s="2595"/>
      <c r="Y51" s="2596"/>
      <c r="Z51" s="2596"/>
      <c r="AA51" s="2596"/>
      <c r="AB51" s="2596"/>
      <c r="AC51" s="2596"/>
      <c r="AD51" s="2596"/>
      <c r="AE51" s="2596"/>
      <c r="AF51" s="2597"/>
      <c r="AG51" s="2595" t="str">
        <f>INDEX(PT_DIFFERENTIATION_CS,MATCH(C51,PT_DIFFERENTIATION_CS_ID,0))</f>
        <v/>
      </c>
      <c r="AH51" s="2596"/>
      <c r="AI51" s="2596"/>
      <c r="AJ51" s="2596"/>
      <c r="AK51" s="2596"/>
      <c r="AL51" s="2596"/>
      <c r="AM51" s="2596"/>
      <c r="AN51" s="2596"/>
      <c r="AO51" s="2596"/>
      <c r="AP51" s="2597"/>
      <c r="AQ51" s="1185" t="s">
        <v>480</v>
      </c>
      <c r="AS51" s="437"/>
      <c r="AT51" s="437" t="str">
        <f t="shared" si="2"/>
        <v xml:space="preserve">Наименование системы теплоснабжения </v>
      </c>
      <c r="AU51" s="437"/>
      <c r="AV51" s="437"/>
      <c r="AW51" s="1082">
        <v>23</v>
      </c>
    </row>
    <row r="52" spans="1:49" ht="21.95" customHeight="1">
      <c r="A52" s="1194" t="s">
        <v>240</v>
      </c>
      <c r="B52" s="1194" t="s">
        <v>241</v>
      </c>
      <c r="C52" s="1194" t="s">
        <v>242</v>
      </c>
      <c r="D52" s="1194" t="s">
        <v>243</v>
      </c>
      <c r="E52" s="2628"/>
      <c r="F52" s="2628"/>
      <c r="G52" s="2628"/>
      <c r="H52" s="2627">
        <v>1</v>
      </c>
      <c r="I52" s="1194"/>
      <c r="J52" s="1194"/>
      <c r="K52" s="1194"/>
      <c r="L52" s="1194"/>
      <c r="M52" s="1237"/>
      <c r="N52" s="625"/>
      <c r="O52" s="625"/>
      <c r="P52" s="625"/>
      <c r="Q52" s="291"/>
      <c r="R52" s="289"/>
      <c r="S52" s="446"/>
      <c r="T52" s="290"/>
      <c r="U52" s="1263" t="str">
        <f>INDEX(PT_DIFFERENTIATION_NUM_IST_TE,MATCH(D52,PT_DIFFERENTIATION_IST_TE_ID,0))</f>
        <v>...</v>
      </c>
      <c r="V52" s="247" t="s">
        <v>481</v>
      </c>
      <c r="W52" s="237"/>
      <c r="X52" s="2595"/>
      <c r="Y52" s="2596"/>
      <c r="Z52" s="2596"/>
      <c r="AA52" s="2596"/>
      <c r="AB52" s="2596"/>
      <c r="AC52" s="2596"/>
      <c r="AD52" s="2596"/>
      <c r="AE52" s="2596"/>
      <c r="AF52" s="2597"/>
      <c r="AG52" s="2595" t="str">
        <f>INDEX(PT_DIFFERENTIATION_IST_TE,MATCH(D52,PT_DIFFERENTIATION_IST_TE_ID,0))</f>
        <v/>
      </c>
      <c r="AH52" s="2596"/>
      <c r="AI52" s="2596"/>
      <c r="AJ52" s="2596"/>
      <c r="AK52" s="2596"/>
      <c r="AL52" s="2596"/>
      <c r="AM52" s="2596"/>
      <c r="AN52" s="2596"/>
      <c r="AO52" s="2596"/>
      <c r="AP52" s="2597"/>
      <c r="AQ52" s="1185" t="s">
        <v>482</v>
      </c>
      <c r="AS52" s="437"/>
      <c r="AT52" s="437" t="str">
        <f t="shared" si="2"/>
        <v xml:space="preserve">Источник тепловой энергии  </v>
      </c>
      <c r="AU52" s="437"/>
      <c r="AV52" s="437"/>
      <c r="AW52" s="1082">
        <v>21</v>
      </c>
    </row>
    <row r="53" spans="1:49" s="1569" customFormat="1" ht="0" hidden="1" customHeight="1">
      <c r="A53" s="1302" t="s">
        <v>240</v>
      </c>
      <c r="B53" s="1302" t="s">
        <v>241</v>
      </c>
      <c r="C53" s="1302" t="s">
        <v>242</v>
      </c>
      <c r="D53" s="1302" t="s">
        <v>243</v>
      </c>
      <c r="E53" s="2628"/>
      <c r="F53" s="2628"/>
      <c r="G53" s="2628"/>
      <c r="H53" s="2628"/>
      <c r="I53" s="2461" t="str">
        <f>U52&amp;".1"</f>
        <v>....1</v>
      </c>
      <c r="J53" s="1302"/>
      <c r="K53" s="1302"/>
      <c r="L53" s="1302"/>
      <c r="M53" s="1308" t="s">
        <v>483</v>
      </c>
      <c r="N53" s="1173"/>
      <c r="O53" s="1173"/>
      <c r="P53" s="1173"/>
      <c r="Q53" s="2605">
        <v>1</v>
      </c>
      <c r="R53" s="1258"/>
      <c r="S53" s="1258"/>
      <c r="T53" s="293"/>
      <c r="U53" s="972"/>
      <c r="V53" s="1310"/>
      <c r="W53" s="1311"/>
      <c r="X53" s="2632"/>
      <c r="Y53" s="2633"/>
      <c r="Z53" s="2633"/>
      <c r="AA53" s="2633"/>
      <c r="AB53" s="2633"/>
      <c r="AC53" s="2633"/>
      <c r="AD53" s="2633"/>
      <c r="AE53" s="2633"/>
      <c r="AF53" s="2634"/>
      <c r="AG53" s="2632"/>
      <c r="AH53" s="2633"/>
      <c r="AI53" s="2633"/>
      <c r="AJ53" s="2633"/>
      <c r="AK53" s="2633"/>
      <c r="AL53" s="2633"/>
      <c r="AM53" s="2633"/>
      <c r="AN53" s="2633"/>
      <c r="AO53" s="2633"/>
      <c r="AP53" s="2634"/>
      <c r="AQ53" s="1312"/>
      <c r="AS53" s="437"/>
      <c r="AT53" s="437" t="str">
        <f t="shared" si="2"/>
        <v/>
      </c>
      <c r="AU53" s="437"/>
      <c r="AV53" s="437"/>
      <c r="AW53" s="448">
        <v>0</v>
      </c>
    </row>
    <row r="54" spans="1:49" ht="21.95" customHeight="1">
      <c r="A54" s="1194" t="s">
        <v>240</v>
      </c>
      <c r="B54" s="1194" t="s">
        <v>241</v>
      </c>
      <c r="C54" s="1194" t="s">
        <v>242</v>
      </c>
      <c r="D54" s="1194" t="s">
        <v>243</v>
      </c>
      <c r="E54" s="2628"/>
      <c r="F54" s="2628"/>
      <c r="G54" s="2628"/>
      <c r="H54" s="2628"/>
      <c r="I54" s="2442"/>
      <c r="J54" s="2461" t="str">
        <f>I53&amp;".1"</f>
        <v>....1.1</v>
      </c>
      <c r="K54" s="1194"/>
      <c r="L54" s="1194"/>
      <c r="M54" s="1237" t="s">
        <v>486</v>
      </c>
      <c r="Q54" s="2605"/>
      <c r="R54" s="2605">
        <v>1</v>
      </c>
      <c r="S54" s="455"/>
      <c r="T54" s="294"/>
      <c r="U54" s="1263" t="str">
        <f>$J54</f>
        <v>....1.1</v>
      </c>
      <c r="V54" s="223" t="s">
        <v>487</v>
      </c>
      <c r="W54" s="237"/>
      <c r="X54" s="2589"/>
      <c r="Y54" s="2590"/>
      <c r="Z54" s="2590"/>
      <c r="AA54" s="2590"/>
      <c r="AB54" s="2590"/>
      <c r="AC54" s="2585"/>
      <c r="AD54" s="2585"/>
      <c r="AE54" s="2585"/>
      <c r="AF54" s="2645"/>
      <c r="AG54" s="2589"/>
      <c r="AH54" s="2590"/>
      <c r="AI54" s="2590"/>
      <c r="AJ54" s="2590"/>
      <c r="AK54" s="2590"/>
      <c r="AL54" s="2590"/>
      <c r="AM54" s="2590"/>
      <c r="AN54" s="2590"/>
      <c r="AO54" s="2590"/>
      <c r="AP54" s="2591"/>
      <c r="AQ54" s="1185" t="s">
        <v>488</v>
      </c>
      <c r="AS54" s="437"/>
      <c r="AT54" s="437" t="str">
        <f t="shared" si="2"/>
        <v>Группа потребителей</v>
      </c>
      <c r="AU54" s="437"/>
      <c r="AV54" s="437"/>
      <c r="AW54" s="1082">
        <v>21</v>
      </c>
    </row>
    <row r="55" spans="1:49" ht="21.95" customHeight="1">
      <c r="A55" s="1194" t="s">
        <v>240</v>
      </c>
      <c r="B55" s="1194" t="s">
        <v>241</v>
      </c>
      <c r="C55" s="1194" t="s">
        <v>242</v>
      </c>
      <c r="D55" s="1194" t="s">
        <v>243</v>
      </c>
      <c r="E55" s="2628"/>
      <c r="F55" s="2628"/>
      <c r="G55" s="2628"/>
      <c r="H55" s="2628"/>
      <c r="I55" s="2442"/>
      <c r="J55" s="2442"/>
      <c r="K55" s="2461" t="str">
        <f>J54&amp;".1"</f>
        <v>....1.1.1</v>
      </c>
      <c r="L55" s="77"/>
      <c r="M55" s="1237" t="s">
        <v>489</v>
      </c>
      <c r="Q55" s="2605"/>
      <c r="R55" s="2605"/>
      <c r="S55" s="455">
        <v>1</v>
      </c>
      <c r="T55" s="294"/>
      <c r="U55" s="1263" t="str">
        <f>$K55</f>
        <v>....1.1.1</v>
      </c>
      <c r="V55" s="1274"/>
      <c r="W55" s="237"/>
      <c r="X55" s="688"/>
      <c r="Y55" s="688"/>
      <c r="Z55" s="688"/>
      <c r="AA55" s="688"/>
      <c r="AB55" s="1332"/>
      <c r="AC55" s="2606"/>
      <c r="AD55" s="2471" t="s">
        <v>66</v>
      </c>
      <c r="AE55" s="2606"/>
      <c r="AF55" s="2471" t="s">
        <v>66</v>
      </c>
      <c r="AG55" s="1334"/>
      <c r="AH55" s="688"/>
      <c r="AI55" s="688"/>
      <c r="AJ55" s="688"/>
      <c r="AK55" s="1184"/>
      <c r="AL55" s="2606"/>
      <c r="AM55" s="2471" t="s">
        <v>66</v>
      </c>
      <c r="AN55" s="2606"/>
      <c r="AO55" s="2471" t="s">
        <v>66</v>
      </c>
      <c r="AP55" s="1275"/>
      <c r="AQ55" s="1234" t="s">
        <v>529</v>
      </c>
      <c r="AR55" s="448" t="e">
        <f ca="1">STRCHECKDATE(X57:AP57)</f>
        <v>#NAME?</v>
      </c>
      <c r="AS55" s="437"/>
      <c r="AT55" s="437" t="str">
        <f t="shared" si="2"/>
        <v/>
      </c>
      <c r="AU55" s="437"/>
      <c r="AV55" s="437"/>
      <c r="AW55" s="1082">
        <v>21</v>
      </c>
    </row>
    <row r="56" spans="1:49" ht="11.45" customHeight="1">
      <c r="A56" s="1194" t="s">
        <v>240</v>
      </c>
      <c r="B56" s="1194" t="s">
        <v>241</v>
      </c>
      <c r="C56" s="1194" t="s">
        <v>242</v>
      </c>
      <c r="D56" s="1194" t="s">
        <v>243</v>
      </c>
      <c r="E56" s="2628"/>
      <c r="F56" s="2628"/>
      <c r="G56" s="2628"/>
      <c r="H56" s="2628"/>
      <c r="I56" s="2442"/>
      <c r="J56" s="2442"/>
      <c r="K56" s="2442"/>
      <c r="L56" s="2461" t="str">
        <f>K55&amp;".1"</f>
        <v>....1.1.1.1</v>
      </c>
      <c r="M56" s="1237"/>
      <c r="Q56" s="2605"/>
      <c r="R56" s="2605"/>
      <c r="S56" s="455">
        <v>1</v>
      </c>
      <c r="T56" s="294"/>
      <c r="U56" s="1263" t="str">
        <f>$L56</f>
        <v>....1.1.1.1</v>
      </c>
      <c r="V56" s="1318"/>
      <c r="W56" s="237"/>
      <c r="X56" s="262"/>
      <c r="Y56" s="688"/>
      <c r="Z56" s="688"/>
      <c r="AA56" s="688"/>
      <c r="AB56" s="1332"/>
      <c r="AC56" s="2607"/>
      <c r="AD56" s="2471"/>
      <c r="AE56" s="2607"/>
      <c r="AF56" s="2471"/>
      <c r="AG56" s="1334"/>
      <c r="AH56" s="688"/>
      <c r="AI56" s="688"/>
      <c r="AJ56" s="688"/>
      <c r="AK56" s="1184"/>
      <c r="AL56" s="2607"/>
      <c r="AM56" s="2471"/>
      <c r="AN56" s="2607"/>
      <c r="AO56" s="2471"/>
      <c r="AP56" s="1275"/>
      <c r="AQ56" s="2624" t="s">
        <v>530</v>
      </c>
      <c r="AR56" s="448" t="e">
        <f ca="1">STRCHECKDATE(X58:AP58)</f>
        <v>#NAME?</v>
      </c>
      <c r="AS56" s="437"/>
      <c r="AT56" s="437" t="str">
        <f t="shared" si="2"/>
        <v/>
      </c>
      <c r="AU56" s="437"/>
      <c r="AV56" s="437"/>
      <c r="AW56" s="1082">
        <v>11</v>
      </c>
    </row>
    <row r="57" spans="1:49" ht="0" hidden="1" customHeight="1">
      <c r="A57" s="1194" t="s">
        <v>240</v>
      </c>
      <c r="B57" s="1194" t="s">
        <v>241</v>
      </c>
      <c r="C57" s="1194" t="s">
        <v>242</v>
      </c>
      <c r="D57" s="1194" t="s">
        <v>243</v>
      </c>
      <c r="E57" s="2628"/>
      <c r="F57" s="2628"/>
      <c r="G57" s="2628"/>
      <c r="H57" s="2628"/>
      <c r="I57" s="2442"/>
      <c r="J57" s="2442"/>
      <c r="K57" s="2442"/>
      <c r="L57" s="2461"/>
      <c r="M57" s="1237"/>
      <c r="Q57" s="2605"/>
      <c r="R57" s="2605"/>
      <c r="S57" s="455"/>
      <c r="T57" s="294"/>
      <c r="U57" s="1269"/>
      <c r="V57" s="237"/>
      <c r="W57" s="237"/>
      <c r="X57" s="262"/>
      <c r="Y57" s="262"/>
      <c r="Z57" s="262"/>
      <c r="AA57" s="262"/>
      <c r="AB57" s="1333" t="str">
        <f>AC55&amp;"-"&amp;AE55</f>
        <v>-</v>
      </c>
      <c r="AC57" s="2607"/>
      <c r="AD57" s="2471"/>
      <c r="AE57" s="2607"/>
      <c r="AF57" s="2471"/>
      <c r="AG57" s="1309"/>
      <c r="AH57" s="262"/>
      <c r="AI57" s="262"/>
      <c r="AJ57" s="262"/>
      <c r="AK57" s="265" t="str">
        <f>AL55&amp;"-"&amp;AN55</f>
        <v>-</v>
      </c>
      <c r="AL57" s="2607"/>
      <c r="AM57" s="2471"/>
      <c r="AN57" s="2607"/>
      <c r="AO57" s="2471"/>
      <c r="AP57" s="1276"/>
      <c r="AQ57" s="2625"/>
      <c r="AS57" s="437"/>
      <c r="AT57" s="437" t="str">
        <f t="shared" si="2"/>
        <v/>
      </c>
      <c r="AU57" s="437"/>
      <c r="AV57" s="437"/>
      <c r="AW57" s="1082">
        <v>0</v>
      </c>
    </row>
    <row r="58" spans="1:49" ht="11.45" customHeight="1">
      <c r="A58" s="1194" t="s">
        <v>240</v>
      </c>
      <c r="B58" s="1194" t="s">
        <v>241</v>
      </c>
      <c r="C58" s="1194" t="s">
        <v>242</v>
      </c>
      <c r="D58" s="1194" t="s">
        <v>243</v>
      </c>
      <c r="E58" s="2628"/>
      <c r="F58" s="2628"/>
      <c r="G58" s="2628"/>
      <c r="H58" s="2628"/>
      <c r="I58" s="2442"/>
      <c r="J58" s="2442"/>
      <c r="K58" s="2461"/>
      <c r="L58" s="1194"/>
      <c r="M58" s="1237"/>
      <c r="Q58" s="2605"/>
      <c r="R58" s="2605"/>
      <c r="S58" s="1258"/>
      <c r="T58" s="293"/>
      <c r="U58" s="1205"/>
      <c r="V58" s="225" t="s">
        <v>531</v>
      </c>
      <c r="W58" s="304"/>
      <c r="X58" s="304"/>
      <c r="Y58" s="304"/>
      <c r="Z58" s="304"/>
      <c r="AA58" s="304"/>
      <c r="AB58" s="304"/>
      <c r="AC58" s="2607"/>
      <c r="AD58" s="2471"/>
      <c r="AE58" s="2607"/>
      <c r="AF58" s="2471"/>
      <c r="AG58" s="304"/>
      <c r="AH58" s="304"/>
      <c r="AI58" s="304"/>
      <c r="AJ58" s="304"/>
      <c r="AK58" s="304"/>
      <c r="AL58" s="2607"/>
      <c r="AM58" s="2471"/>
      <c r="AN58" s="2607"/>
      <c r="AO58" s="2471"/>
      <c r="AP58" s="261"/>
      <c r="AQ58" s="2625"/>
      <c r="AS58" s="437"/>
      <c r="AT58" s="437" t="str">
        <f t="shared" si="2"/>
        <v>Добавить наименование поставщика</v>
      </c>
      <c r="AU58" s="437"/>
      <c r="AV58" s="437"/>
      <c r="AW58" s="1082">
        <v>11</v>
      </c>
    </row>
    <row r="59" spans="1:49" ht="11.45" customHeight="1">
      <c r="A59" s="1194" t="s">
        <v>240</v>
      </c>
      <c r="B59" s="1194" t="s">
        <v>241</v>
      </c>
      <c r="C59" s="1194" t="s">
        <v>242</v>
      </c>
      <c r="D59" s="1194" t="s">
        <v>243</v>
      </c>
      <c r="E59" s="2628"/>
      <c r="F59" s="2628"/>
      <c r="G59" s="2628"/>
      <c r="H59" s="2628"/>
      <c r="I59" s="2442"/>
      <c r="J59" s="2461"/>
      <c r="K59" s="1194"/>
      <c r="L59" s="1194"/>
      <c r="M59" s="1237"/>
      <c r="Q59" s="2605"/>
      <c r="R59" s="2605"/>
      <c r="S59" s="1258"/>
      <c r="T59" s="293"/>
      <c r="U59" s="1205"/>
      <c r="V59" s="224" t="s">
        <v>491</v>
      </c>
      <c r="W59" s="304"/>
      <c r="X59" s="304"/>
      <c r="Y59" s="304"/>
      <c r="Z59" s="304"/>
      <c r="AA59" s="304"/>
      <c r="AB59" s="304"/>
      <c r="AC59" s="1335"/>
      <c r="AD59" s="1335"/>
      <c r="AE59" s="1335"/>
      <c r="AF59" s="1335"/>
      <c r="AG59" s="304"/>
      <c r="AH59" s="304"/>
      <c r="AI59" s="304"/>
      <c r="AJ59" s="304"/>
      <c r="AK59" s="304"/>
      <c r="AL59" s="304"/>
      <c r="AM59" s="304"/>
      <c r="AN59" s="304"/>
      <c r="AO59" s="304"/>
      <c r="AP59" s="261"/>
      <c r="AQ59" s="2626"/>
      <c r="AS59" s="437"/>
      <c r="AT59" s="437" t="str">
        <f t="shared" si="2"/>
        <v>Добавить вид теплоносителя (параметры теплоносителя)</v>
      </c>
      <c r="AU59" s="437"/>
      <c r="AV59" s="437"/>
      <c r="AW59" s="1082">
        <v>11</v>
      </c>
    </row>
    <row r="60" spans="1:49" ht="11.45" customHeight="1">
      <c r="A60" s="1194" t="s">
        <v>240</v>
      </c>
      <c r="B60" s="1194" t="s">
        <v>241</v>
      </c>
      <c r="C60" s="1194" t="s">
        <v>242</v>
      </c>
      <c r="D60" s="1194" t="s">
        <v>243</v>
      </c>
      <c r="E60" s="2628"/>
      <c r="F60" s="2628"/>
      <c r="G60" s="2628"/>
      <c r="H60" s="2628"/>
      <c r="I60" s="2461"/>
      <c r="J60" s="1194"/>
      <c r="K60" s="1194"/>
      <c r="L60" s="1194"/>
      <c r="M60" s="1237"/>
      <c r="Q60" s="2605"/>
      <c r="R60" s="1258"/>
      <c r="S60" s="1258"/>
      <c r="T60" s="293"/>
      <c r="U60" s="1205"/>
      <c r="V60" s="302" t="s">
        <v>492</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240</v>
      </c>
      <c r="B61" s="1194" t="s">
        <v>241</v>
      </c>
      <c r="C61" s="1194" t="s">
        <v>242</v>
      </c>
      <c r="D61" s="1194" t="s">
        <v>243</v>
      </c>
      <c r="E61" s="2628"/>
      <c r="F61" s="2628"/>
      <c r="G61" s="2628"/>
      <c r="H61" s="262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240</v>
      </c>
      <c r="B62" s="1302" t="s">
        <v>241</v>
      </c>
      <c r="C62" s="1302" t="s">
        <v>242</v>
      </c>
      <c r="D62" s="1301"/>
      <c r="E62" s="2628"/>
      <c r="F62" s="2628"/>
      <c r="G62" s="2627"/>
      <c r="H62" s="1301"/>
      <c r="I62" s="1301"/>
      <c r="J62" s="1301"/>
      <c r="K62" s="1301"/>
      <c r="L62" s="1301"/>
      <c r="M62" s="1304"/>
      <c r="N62" s="1305"/>
      <c r="O62" s="1305"/>
      <c r="P62" s="288"/>
      <c r="Q62" s="1243"/>
      <c r="R62" s="1244"/>
      <c r="S62" s="1243"/>
      <c r="T62" s="1243"/>
      <c r="U62" s="1249"/>
      <c r="V62" s="1252" t="s">
        <v>494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240</v>
      </c>
      <c r="B63" s="1302" t="s">
        <v>241</v>
      </c>
      <c r="C63" s="1301"/>
      <c r="D63" s="1301"/>
      <c r="E63" s="2628"/>
      <c r="F63" s="2627"/>
      <c r="G63" s="1301"/>
      <c r="H63" s="1301"/>
      <c r="I63" s="1301"/>
      <c r="J63" s="1301"/>
      <c r="K63" s="1301"/>
      <c r="L63" s="1301"/>
      <c r="M63" s="1304"/>
      <c r="N63" s="1306"/>
      <c r="O63" s="1306"/>
      <c r="P63" s="288"/>
      <c r="Q63" s="1243"/>
      <c r="R63" s="1244"/>
      <c r="S63" s="1243"/>
      <c r="T63" s="1243"/>
      <c r="U63" s="1249"/>
      <c r="V63" s="1252" t="s">
        <v>295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240</v>
      </c>
      <c r="B64" s="1302"/>
      <c r="C64" s="1302"/>
      <c r="D64" s="1302"/>
      <c r="E64" s="2627"/>
      <c r="F64" s="1302"/>
      <c r="G64" s="1302"/>
      <c r="H64" s="1302"/>
      <c r="I64" s="1302"/>
      <c r="J64" s="1302"/>
      <c r="K64" s="1302"/>
      <c r="L64" s="1302"/>
      <c r="M64" s="1308"/>
      <c r="N64" s="1306"/>
      <c r="O64" s="1306"/>
      <c r="P64" s="288"/>
      <c r="Q64" s="317"/>
      <c r="R64" s="1271"/>
      <c r="S64" s="317"/>
      <c r="T64" s="317"/>
      <c r="U64" s="1249"/>
      <c r="V64" s="1252" t="s">
        <v>299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300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W67" s="1082">
        <v>34</v>
      </c>
    </row>
    <row r="68" spans="1:49" ht="21" customHeight="1">
      <c r="P68" s="446"/>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W68" s="1082">
        <v>20</v>
      </c>
    </row>
    <row r="69" spans="1:49" ht="14.65" customHeight="1">
      <c r="P69" s="446"/>
      <c r="AW69" s="1082">
        <v>14</v>
      </c>
    </row>
    <row r="70" spans="1:49" ht="28.5" customHeight="1">
      <c r="P70" s="446"/>
      <c r="V70" s="2600"/>
      <c r="W70" s="2600"/>
      <c r="X70" s="2600"/>
      <c r="Y70" s="2600"/>
      <c r="Z70" s="2600"/>
      <c r="AA70" s="2600"/>
      <c r="AB70" s="2600"/>
      <c r="AC70" s="2600"/>
      <c r="AD70" s="2600"/>
      <c r="AE70" s="2600"/>
      <c r="AF70" s="2600"/>
      <c r="AG70" s="2600"/>
      <c r="AH70" s="2600"/>
      <c r="AI70" s="2600"/>
      <c r="AJ70" s="2600"/>
      <c r="AK70" s="2600"/>
      <c r="AL70" s="2600"/>
      <c r="AM70" s="2600"/>
      <c r="AN70" s="2600"/>
      <c r="AO70" s="2600"/>
      <c r="AP70" s="2600"/>
      <c r="AQ70" s="2600"/>
      <c r="AW70" s="1082">
        <v>27</v>
      </c>
    </row>
    <row r="71" spans="1:49" ht="18.75" customHeight="1">
      <c r="P71" s="446"/>
      <c r="V71" s="2600"/>
      <c r="W71" s="2600"/>
      <c r="X71" s="2600"/>
      <c r="Y71" s="2600"/>
      <c r="Z71" s="2600"/>
      <c r="AA71" s="2600"/>
      <c r="AB71" s="2600"/>
      <c r="AC71" s="2600"/>
      <c r="AD71" s="2600"/>
      <c r="AE71" s="2600"/>
      <c r="AF71" s="2600"/>
      <c r="AG71" s="2600"/>
      <c r="AH71" s="2600"/>
      <c r="AI71" s="2600"/>
      <c r="AJ71" s="2600"/>
      <c r="AK71" s="2600"/>
      <c r="AL71" s="2600"/>
      <c r="AM71" s="2600"/>
      <c r="AN71" s="2600"/>
      <c r="AO71" s="2600"/>
      <c r="AP71" s="2600"/>
      <c r="AQ71" s="2600"/>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31" sqref="F3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441" t="str">
        <f>NameTemplatesInTitle</f>
        <v>Показатели, подлежащие раскрытию в сфере холодного водоснабжения (цены и тарифы)</v>
      </c>
      <c r="F5" s="2442"/>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444" t="s">
        <v>20</v>
      </c>
      <c r="D11" s="14"/>
      <c r="E11" s="1092" t="s">
        <v>21</v>
      </c>
      <c r="F11" s="1659">
        <v>45658</v>
      </c>
      <c r="G11" s="16"/>
      <c r="H11" s="705" t="s">
        <v>22</v>
      </c>
      <c r="J11" s="807" t="s">
        <v>23</v>
      </c>
      <c r="Q11" s="13">
        <v>0</v>
      </c>
    </row>
    <row r="12" spans="1:17" ht="22.5" customHeight="1">
      <c r="A12" s="2444"/>
      <c r="D12" s="14"/>
      <c r="E12" s="1092" t="s">
        <v>24</v>
      </c>
      <c r="F12" s="1659">
        <v>46022</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443"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443"/>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45596.468541666669</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153" t="s">
        <v>43</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45</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46</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41.65" customHeight="1">
      <c r="C31" s="17"/>
      <c r="D31" s="18"/>
      <c r="E31" s="328" t="str">
        <f>"Наименование "&amp;IF(TEMPLATE_GROUP="ROIV","органа тарифного регулирования","ЮЛ / ИП")</f>
        <v>Наименование ЮЛ / ИП</v>
      </c>
      <c r="F31" s="154" t="s">
        <v>47</v>
      </c>
      <c r="G31" s="708"/>
      <c r="Q31" s="13">
        <v>20</v>
      </c>
    </row>
    <row r="32" spans="1:17" ht="21" hidden="1" customHeight="1">
      <c r="C32" s="17"/>
      <c r="D32" s="18"/>
      <c r="E32" s="329" t="s">
        <v>48</v>
      </c>
      <c r="F32" s="154"/>
      <c r="G32" s="708"/>
      <c r="Q32" s="13">
        <v>20</v>
      </c>
    </row>
    <row r="33" spans="1:17" ht="21" customHeight="1">
      <c r="C33" s="17"/>
      <c r="D33" s="18"/>
      <c r="E33" s="328" t="s">
        <v>49</v>
      </c>
      <c r="F33" s="154" t="s">
        <v>50</v>
      </c>
      <c r="G33" s="708"/>
      <c r="Q33" s="13">
        <v>20</v>
      </c>
    </row>
    <row r="34" spans="1:17" ht="21" customHeight="1">
      <c r="C34" s="17"/>
      <c r="D34" s="18"/>
      <c r="E34" s="328" t="s">
        <v>51</v>
      </c>
      <c r="F34" s="154" t="s">
        <v>52</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53</v>
      </c>
      <c r="F36" s="285"/>
      <c r="G36" s="16"/>
      <c r="Q36" s="13">
        <v>0</v>
      </c>
    </row>
    <row r="37" spans="1:17" ht="21" customHeight="1">
      <c r="A37" s="810"/>
      <c r="D37" s="18"/>
      <c r="E37" s="328" t="s">
        <v>54</v>
      </c>
      <c r="F37" s="1137" t="s">
        <v>55</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56</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57</v>
      </c>
      <c r="F43" s="647" t="s">
        <v>19</v>
      </c>
      <c r="G43" s="12"/>
      <c r="I43" s="348"/>
      <c r="J43" s="807"/>
      <c r="Q43" s="346">
        <v>0</v>
      </c>
    </row>
    <row r="44" spans="1:17" s="1562" customFormat="1" ht="27" hidden="1" customHeight="1">
      <c r="A44" s="715"/>
      <c r="B44" s="350"/>
      <c r="C44" s="345"/>
      <c r="D44" s="347"/>
      <c r="E44" s="1092" t="s">
        <v>58</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59</v>
      </c>
      <c r="F46" s="647" t="s">
        <v>19</v>
      </c>
      <c r="G46" s="12"/>
      <c r="H46" s="346"/>
      <c r="I46" s="348"/>
      <c r="J46" s="807"/>
      <c r="Q46" s="367">
        <v>0</v>
      </c>
    </row>
    <row r="47" spans="1:17" s="1562" customFormat="1" ht="24.75" hidden="1" customHeight="1">
      <c r="A47" s="715"/>
      <c r="B47" s="350"/>
      <c r="C47" s="345"/>
      <c r="D47" s="347"/>
      <c r="E47" s="1092" t="s">
        <v>60</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19</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68</v>
      </c>
      <c r="F62" s="1598" t="s">
        <v>66</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69</v>
      </c>
      <c r="F64" s="153" t="s">
        <v>70</v>
      </c>
      <c r="G64" s="16"/>
      <c r="Q64" s="13">
        <v>20</v>
      </c>
    </row>
    <row r="65" spans="1:17" ht="21" customHeight="1">
      <c r="B65" s="38"/>
      <c r="D65" s="21"/>
      <c r="E65" s="328" t="s">
        <v>71</v>
      </c>
      <c r="F65" s="153" t="s">
        <v>72</v>
      </c>
      <c r="G65" s="16"/>
      <c r="Q65" s="13">
        <v>20</v>
      </c>
    </row>
    <row r="66" spans="1:17" ht="36.75" customHeight="1">
      <c r="D66" s="14"/>
      <c r="E66" s="330" t="s">
        <v>73</v>
      </c>
      <c r="F66" s="984"/>
      <c r="G66" s="12"/>
      <c r="Q66" s="13">
        <v>35</v>
      </c>
    </row>
    <row r="67" spans="1:17" ht="21" customHeight="1">
      <c r="D67" s="347"/>
      <c r="E67" s="328" t="s">
        <v>74</v>
      </c>
      <c r="F67" s="208" t="s">
        <v>75</v>
      </c>
      <c r="G67" s="16"/>
      <c r="Q67" s="13">
        <v>20</v>
      </c>
    </row>
    <row r="68" spans="1:17" ht="21" customHeight="1">
      <c r="B68" s="38"/>
      <c r="D68" s="21"/>
      <c r="E68" s="328" t="s">
        <v>76</v>
      </c>
      <c r="F68" s="208" t="s">
        <v>77</v>
      </c>
      <c r="G68" s="16"/>
      <c r="Q68" s="13">
        <v>20</v>
      </c>
    </row>
    <row r="69" spans="1:17" ht="21" customHeight="1">
      <c r="B69" s="38"/>
      <c r="D69" s="21"/>
      <c r="E69" s="328" t="s">
        <v>78</v>
      </c>
      <c r="F69" s="208" t="s">
        <v>79</v>
      </c>
      <c r="G69" s="16"/>
      <c r="Q69" s="13">
        <v>20</v>
      </c>
    </row>
    <row r="70" spans="1:17" ht="21" customHeight="1">
      <c r="D70" s="347"/>
      <c r="E70" s="328" t="s">
        <v>80</v>
      </c>
      <c r="F70" s="2035" t="s">
        <v>81</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82</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skdtv@yandex.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601">
        <v>1</v>
      </c>
      <c r="F2" s="1290"/>
      <c r="G2" s="1290"/>
      <c r="H2" s="1290"/>
      <c r="I2" s="1290"/>
      <c r="J2" s="1290"/>
      <c r="K2" s="1290"/>
      <c r="L2" s="1291"/>
      <c r="M2" s="1292"/>
      <c r="N2" s="1292"/>
      <c r="O2" s="1292"/>
      <c r="P2" s="1336"/>
      <c r="Q2" s="804"/>
      <c r="R2" s="292"/>
      <c r="S2" s="1263" t="e">
        <f>INDEX(PT_DIFFERENTIATION_NUM_NTAR,MATCH(A2,PT_DIFFERENTIATION_NTAR_ID,0))</f>
        <v>#N/A</v>
      </c>
      <c r="T2" s="235" t="s">
        <v>189</v>
      </c>
      <c r="U2" s="237"/>
      <c r="V2" s="2596"/>
      <c r="W2" s="2596"/>
      <c r="X2" s="2596"/>
      <c r="Y2" s="2596"/>
      <c r="Z2" s="2596"/>
      <c r="AA2" s="2597"/>
      <c r="AB2" s="2595" t="e">
        <f>INDEX(PT_DIFFERENTIATION_NTAR,MATCH(A2,PT_DIFFERENTIATION_NTAR_ID,0))</f>
        <v>#N/A</v>
      </c>
      <c r="AC2" s="2596"/>
      <c r="AD2" s="2596"/>
      <c r="AE2" s="2596"/>
      <c r="AF2" s="2596"/>
      <c r="AG2" s="2596"/>
      <c r="AH2" s="2596"/>
      <c r="AI2" s="2596"/>
      <c r="AJ2" s="2596"/>
      <c r="AK2" s="2596"/>
      <c r="AL2" s="2596"/>
      <c r="AM2" s="2596"/>
      <c r="AN2" s="2596"/>
      <c r="AO2" s="2596"/>
      <c r="AP2" s="2596"/>
      <c r="AQ2" s="2596"/>
      <c r="AR2" s="2596"/>
      <c r="AS2" s="2596"/>
      <c r="AT2" s="2597"/>
      <c r="AU2" s="1185" t="s">
        <v>476</v>
      </c>
      <c r="AW2" s="437"/>
      <c r="AX2" s="437" t="str">
        <f t="shared" ref="AX2:AX8" si="0">IF(T2="","",T2)</f>
        <v>Наименование тарифа</v>
      </c>
      <c r="AY2" s="437"/>
      <c r="AZ2" s="437"/>
      <c r="BA2" s="1082">
        <v>0</v>
      </c>
    </row>
    <row r="3" spans="1:53" ht="21" hidden="1" customHeight="1">
      <c r="A3" s="1290"/>
      <c r="B3" s="1290"/>
      <c r="C3" s="1290"/>
      <c r="D3" s="1290"/>
      <c r="E3" s="2602"/>
      <c r="F3" s="2601">
        <v>1</v>
      </c>
      <c r="G3" s="1290"/>
      <c r="H3" s="1290"/>
      <c r="I3" s="1290"/>
      <c r="J3" s="1290"/>
      <c r="K3" s="1290"/>
      <c r="L3" s="1291"/>
      <c r="M3" s="1292"/>
      <c r="N3" s="1292"/>
      <c r="O3" s="1292"/>
      <c r="P3" s="1337"/>
      <c r="Q3" s="1338"/>
      <c r="R3" s="290"/>
      <c r="S3" s="1263" t="e">
        <f>INDEX(PT_DIFFERENTIATION_NUM_TER,MATCH(B3,PT_DIFFERENTIATION_TER_ID,0))</f>
        <v>#N/A</v>
      </c>
      <c r="T3" s="245" t="s">
        <v>477</v>
      </c>
      <c r="U3" s="237"/>
      <c r="V3" s="2596"/>
      <c r="W3" s="2596"/>
      <c r="X3" s="2596"/>
      <c r="Y3" s="2596"/>
      <c r="Z3" s="2596"/>
      <c r="AA3" s="2597"/>
      <c r="AB3" s="2595" t="e">
        <f>INDEX(PT_DIFFERENTIATION_TER,MATCH(B3,PT_DIFFERENTIATION_TER_ID,0))</f>
        <v>#N/A</v>
      </c>
      <c r="AC3" s="2596"/>
      <c r="AD3" s="2596"/>
      <c r="AE3" s="2596"/>
      <c r="AF3" s="2596"/>
      <c r="AG3" s="2596"/>
      <c r="AH3" s="2596"/>
      <c r="AI3" s="2596"/>
      <c r="AJ3" s="2596"/>
      <c r="AK3" s="2596"/>
      <c r="AL3" s="2596"/>
      <c r="AM3" s="2596"/>
      <c r="AN3" s="2596"/>
      <c r="AO3" s="2596"/>
      <c r="AP3" s="2596"/>
      <c r="AQ3" s="2596"/>
      <c r="AR3" s="2596"/>
      <c r="AS3" s="2596"/>
      <c r="AT3" s="2597"/>
      <c r="AU3" s="1185" t="s">
        <v>478</v>
      </c>
      <c r="AW3" s="437"/>
      <c r="AX3" s="437" t="str">
        <f t="shared" si="0"/>
        <v>Территория действия тарифа</v>
      </c>
      <c r="AY3" s="437"/>
      <c r="AZ3" s="437"/>
      <c r="BA3" s="1082">
        <v>0</v>
      </c>
    </row>
    <row r="4" spans="1:53" ht="22.5" hidden="1" customHeight="1">
      <c r="A4" s="1290"/>
      <c r="B4" s="1290"/>
      <c r="C4" s="1290"/>
      <c r="D4" s="1290"/>
      <c r="E4" s="2602"/>
      <c r="F4" s="2602"/>
      <c r="G4" s="2601">
        <v>1</v>
      </c>
      <c r="H4" s="1290"/>
      <c r="I4" s="1290"/>
      <c r="J4" s="1290"/>
      <c r="K4" s="1290"/>
      <c r="L4" s="1291"/>
      <c r="M4" s="1292"/>
      <c r="N4" s="1292"/>
      <c r="O4" s="1292"/>
      <c r="P4" s="1339"/>
      <c r="Q4" s="1338"/>
      <c r="R4" s="290"/>
      <c r="S4" s="1263" t="e">
        <f>INDEX(PT_DIFFERENTIATION_NUM_CS,MATCH(C4,PT_DIFFERENTIATION_CS_ID,0))</f>
        <v>#N/A</v>
      </c>
      <c r="T4" s="246" t="s">
        <v>479</v>
      </c>
      <c r="U4" s="237"/>
      <c r="V4" s="2596"/>
      <c r="W4" s="2596"/>
      <c r="X4" s="2596"/>
      <c r="Y4" s="2596"/>
      <c r="Z4" s="2596"/>
      <c r="AA4" s="2597"/>
      <c r="AB4" s="2595" t="e">
        <f>INDEX(PT_DIFFERENTIATION_CS,MATCH(C4,PT_DIFFERENTIATION_CS_ID,0))</f>
        <v>#N/A</v>
      </c>
      <c r="AC4" s="2596"/>
      <c r="AD4" s="2596"/>
      <c r="AE4" s="2596"/>
      <c r="AF4" s="2596"/>
      <c r="AG4" s="2596"/>
      <c r="AH4" s="2596"/>
      <c r="AI4" s="2596"/>
      <c r="AJ4" s="2596"/>
      <c r="AK4" s="2596"/>
      <c r="AL4" s="2596"/>
      <c r="AM4" s="2596"/>
      <c r="AN4" s="2596"/>
      <c r="AO4" s="2596"/>
      <c r="AP4" s="2596"/>
      <c r="AQ4" s="2596"/>
      <c r="AR4" s="2596"/>
      <c r="AS4" s="2596"/>
      <c r="AT4" s="2597"/>
      <c r="AU4" s="1185" t="s">
        <v>480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602"/>
      <c r="F5" s="2602"/>
      <c r="G5" s="2602"/>
      <c r="H5" s="2601">
        <v>1</v>
      </c>
      <c r="I5" s="1290"/>
      <c r="J5" s="1290"/>
      <c r="K5" s="1290"/>
      <c r="L5" s="1291"/>
      <c r="M5" s="1292"/>
      <c r="N5" s="1292"/>
      <c r="O5" s="1292"/>
      <c r="P5" s="1339"/>
      <c r="Q5" s="1338"/>
      <c r="R5" s="290"/>
      <c r="S5" s="1263" t="e">
        <f>INDEX(PT_DIFFERENTIATION_NUM_IST_TE,MATCH(D5,PT_DIFFERENTIATION_IST_TE_ID,0))</f>
        <v>#N/A</v>
      </c>
      <c r="T5" s="247" t="s">
        <v>481</v>
      </c>
      <c r="U5" s="237"/>
      <c r="V5" s="2596"/>
      <c r="W5" s="2596"/>
      <c r="X5" s="2596"/>
      <c r="Y5" s="2596"/>
      <c r="Z5" s="2596"/>
      <c r="AA5" s="2597"/>
      <c r="AB5" s="2595" t="e">
        <f>INDEX(PT_DIFFERENTIATION_IST_TE,MATCH(D5,PT_DIFFERENTIATION_IST_TE_ID,0))</f>
        <v>#N/A</v>
      </c>
      <c r="AC5" s="2596"/>
      <c r="AD5" s="2596"/>
      <c r="AE5" s="2596"/>
      <c r="AF5" s="2596"/>
      <c r="AG5" s="2596"/>
      <c r="AH5" s="2596"/>
      <c r="AI5" s="2596"/>
      <c r="AJ5" s="2596"/>
      <c r="AK5" s="2596"/>
      <c r="AL5" s="2596"/>
      <c r="AM5" s="2596"/>
      <c r="AN5" s="2596"/>
      <c r="AO5" s="2596"/>
      <c r="AP5" s="2596"/>
      <c r="AQ5" s="2596"/>
      <c r="AR5" s="2596"/>
      <c r="AS5" s="2596"/>
      <c r="AT5" s="2597"/>
      <c r="AU5" s="1185" t="s">
        <v>482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602"/>
      <c r="F6" s="2602"/>
      <c r="G6" s="2602"/>
      <c r="H6" s="2602"/>
      <c r="I6" s="2603" t="e">
        <f>S5&amp;".1"</f>
        <v>#N/A</v>
      </c>
      <c r="J6" s="1270"/>
      <c r="K6" s="1270"/>
      <c r="L6" s="1273" t="s">
        <v>483</v>
      </c>
      <c r="M6" s="447"/>
      <c r="N6" s="447"/>
      <c r="O6" s="447"/>
      <c r="P6" s="2605">
        <v>1</v>
      </c>
      <c r="Q6" s="1258"/>
      <c r="R6" s="293"/>
      <c r="S6" s="972"/>
      <c r="T6" s="1310"/>
      <c r="U6" s="1311"/>
      <c r="V6" s="2633"/>
      <c r="W6" s="2633"/>
      <c r="X6" s="2633"/>
      <c r="Y6" s="2633"/>
      <c r="Z6" s="2633"/>
      <c r="AA6" s="2634"/>
      <c r="AB6" s="2632"/>
      <c r="AC6" s="2633"/>
      <c r="AD6" s="2633"/>
      <c r="AE6" s="2633"/>
      <c r="AF6" s="2633"/>
      <c r="AG6" s="2633"/>
      <c r="AH6" s="2633"/>
      <c r="AI6" s="2633"/>
      <c r="AJ6" s="2633"/>
      <c r="AK6" s="2633"/>
      <c r="AL6" s="2633"/>
      <c r="AM6" s="2633"/>
      <c r="AN6" s="2633"/>
      <c r="AO6" s="2633"/>
      <c r="AP6" s="2633"/>
      <c r="AQ6" s="2633"/>
      <c r="AR6" s="2633"/>
      <c r="AS6" s="2633"/>
      <c r="AT6" s="2634"/>
      <c r="AU6" s="1312"/>
      <c r="AW6" s="437"/>
      <c r="AX6" s="437" t="str">
        <f t="shared" si="0"/>
        <v/>
      </c>
      <c r="AY6" s="437"/>
      <c r="AZ6" s="437"/>
      <c r="BA6" s="448">
        <v>0</v>
      </c>
    </row>
    <row r="7" spans="1:53" s="1569" customFormat="1" ht="0.75" hidden="1" customHeight="1">
      <c r="A7" s="1270"/>
      <c r="B7" s="1270"/>
      <c r="C7" s="1270"/>
      <c r="D7" s="1270"/>
      <c r="E7" s="2602"/>
      <c r="F7" s="2602"/>
      <c r="G7" s="2602"/>
      <c r="H7" s="2602"/>
      <c r="I7" s="2604"/>
      <c r="J7" s="2603" t="e">
        <f>S5&amp;".1"</f>
        <v>#N/A</v>
      </c>
      <c r="K7" s="1270"/>
      <c r="L7" s="1273"/>
      <c r="M7" s="447"/>
      <c r="N7" s="447"/>
      <c r="O7" s="447"/>
      <c r="P7" s="2605"/>
      <c r="Q7" s="2605">
        <v>1</v>
      </c>
      <c r="R7" s="294"/>
      <c r="S7" s="972"/>
      <c r="T7" s="1326"/>
      <c r="U7" s="1311"/>
      <c r="V7" s="2633"/>
      <c r="W7" s="2633"/>
      <c r="X7" s="2633"/>
      <c r="Y7" s="2633"/>
      <c r="Z7" s="2633"/>
      <c r="AA7" s="2634"/>
      <c r="AB7" s="2632"/>
      <c r="AC7" s="2633"/>
      <c r="AD7" s="2633"/>
      <c r="AE7" s="2633"/>
      <c r="AF7" s="2633"/>
      <c r="AG7" s="2633"/>
      <c r="AH7" s="2633"/>
      <c r="AI7" s="2633"/>
      <c r="AJ7" s="2633"/>
      <c r="AK7" s="2633"/>
      <c r="AL7" s="2633"/>
      <c r="AM7" s="2633"/>
      <c r="AN7" s="2633"/>
      <c r="AO7" s="2633"/>
      <c r="AP7" s="2633"/>
      <c r="AQ7" s="2633"/>
      <c r="AR7" s="2633"/>
      <c r="AS7" s="2633"/>
      <c r="AT7" s="2634"/>
      <c r="AU7" s="1312"/>
      <c r="AW7" s="437"/>
      <c r="AX7" s="437" t="str">
        <f t="shared" si="0"/>
        <v/>
      </c>
      <c r="AY7" s="437"/>
      <c r="AZ7" s="437"/>
      <c r="BA7" s="448">
        <v>0</v>
      </c>
    </row>
    <row r="8" spans="1:53" ht="21" hidden="1" customHeight="1">
      <c r="A8" s="1290"/>
      <c r="B8" s="1290"/>
      <c r="C8" s="1290"/>
      <c r="D8" s="1290"/>
      <c r="E8" s="2602"/>
      <c r="F8" s="2602"/>
      <c r="G8" s="2602"/>
      <c r="H8" s="2602"/>
      <c r="I8" s="2604"/>
      <c r="J8" s="2604"/>
      <c r="K8" s="2603" t="e">
        <f>S5&amp;".1"</f>
        <v>#N/A</v>
      </c>
      <c r="L8" s="1291"/>
      <c r="P8" s="2605"/>
      <c r="Q8" s="2605"/>
      <c r="R8" s="2661">
        <v>1</v>
      </c>
      <c r="S8" s="2658" t="e">
        <f>$K8</f>
        <v>#N/A</v>
      </c>
      <c r="T8" s="2655"/>
      <c r="U8" s="237"/>
      <c r="V8" s="688"/>
      <c r="W8" s="1184"/>
      <c r="X8" s="2606"/>
      <c r="Y8" s="2471" t="s">
        <v>66</v>
      </c>
      <c r="Z8" s="2606"/>
      <c r="AA8" s="2471" t="s">
        <v>66</v>
      </c>
      <c r="AB8" s="2471" t="s">
        <v>19</v>
      </c>
      <c r="AC8" s="2654"/>
      <c r="AD8" s="2559">
        <v>1</v>
      </c>
      <c r="AE8" s="2668"/>
      <c r="AF8" s="2471" t="s">
        <v>19</v>
      </c>
      <c r="AG8" s="2654"/>
      <c r="AH8" s="2559">
        <v>1</v>
      </c>
      <c r="AI8" s="2668"/>
      <c r="AJ8" s="2471" t="s">
        <v>19</v>
      </c>
      <c r="AK8" s="248"/>
      <c r="AL8" s="1264">
        <v>1</v>
      </c>
      <c r="AM8" s="1325"/>
      <c r="AN8" s="688"/>
      <c r="AO8" s="1184"/>
      <c r="AP8" s="1661"/>
      <c r="AQ8" s="1386" t="s">
        <v>66</v>
      </c>
      <c r="AR8" s="1661"/>
      <c r="AS8" s="1386" t="s">
        <v>66</v>
      </c>
      <c r="AT8" s="1275"/>
      <c r="AU8" s="2624" t="s">
        <v>541</v>
      </c>
      <c r="AV8" s="448" t="e">
        <f ca="1">STRCHECKDATE(V11:AT11)</f>
        <v>#NAME?</v>
      </c>
      <c r="AW8" s="437"/>
      <c r="AX8" s="437" t="str">
        <f t="shared" si="0"/>
        <v/>
      </c>
      <c r="AY8" s="437"/>
      <c r="AZ8" s="437"/>
      <c r="BA8" s="1082">
        <v>0</v>
      </c>
    </row>
    <row r="9" spans="1:53" ht="11.25" hidden="1" customHeight="1">
      <c r="A9" s="1290"/>
      <c r="B9" s="1290"/>
      <c r="C9" s="1290"/>
      <c r="D9" s="1290"/>
      <c r="E9" s="2602"/>
      <c r="F9" s="2602"/>
      <c r="G9" s="2602"/>
      <c r="H9" s="2602"/>
      <c r="I9" s="2604"/>
      <c r="J9" s="2604"/>
      <c r="K9" s="2603"/>
      <c r="L9" s="1291"/>
      <c r="P9" s="2605"/>
      <c r="Q9" s="2605"/>
      <c r="R9" s="2661"/>
      <c r="S9" s="2659"/>
      <c r="T9" s="2656"/>
      <c r="U9" s="237"/>
      <c r="V9" s="1320"/>
      <c r="W9" s="1324"/>
      <c r="X9" s="2606"/>
      <c r="Y9" s="2471"/>
      <c r="Z9" s="2606"/>
      <c r="AA9" s="2471"/>
      <c r="AB9" s="2471"/>
      <c r="AC9" s="2654"/>
      <c r="AD9" s="2559"/>
      <c r="AE9" s="2668"/>
      <c r="AF9" s="2471"/>
      <c r="AG9" s="2654"/>
      <c r="AH9" s="2559"/>
      <c r="AI9" s="2668"/>
      <c r="AJ9" s="2471"/>
      <c r="AK9" s="253"/>
      <c r="AL9" s="353"/>
      <c r="AM9" s="352" t="s">
        <v>542</v>
      </c>
      <c r="AN9" s="1320"/>
      <c r="AO9" s="1423"/>
      <c r="AP9" s="1320"/>
      <c r="AQ9" s="1320"/>
      <c r="AR9" s="1320"/>
      <c r="AS9" s="1320"/>
      <c r="AT9" s="1317"/>
      <c r="AU9" s="2625"/>
      <c r="AW9" s="437"/>
      <c r="AX9" s="437"/>
      <c r="AY9" s="437"/>
      <c r="AZ9" s="437"/>
      <c r="BA9" s="1082">
        <v>0</v>
      </c>
    </row>
    <row r="10" spans="1:53" ht="11.25" hidden="1" customHeight="1">
      <c r="A10" s="1290"/>
      <c r="B10" s="1290"/>
      <c r="C10" s="1290"/>
      <c r="D10" s="1290"/>
      <c r="E10" s="2602"/>
      <c r="F10" s="2602"/>
      <c r="G10" s="2602"/>
      <c r="H10" s="2602"/>
      <c r="I10" s="2604"/>
      <c r="J10" s="2604"/>
      <c r="K10" s="2603"/>
      <c r="L10" s="1291"/>
      <c r="P10" s="2605"/>
      <c r="Q10" s="2605"/>
      <c r="R10" s="2661"/>
      <c r="S10" s="2659"/>
      <c r="T10" s="2656"/>
      <c r="U10" s="237"/>
      <c r="V10" s="1320"/>
      <c r="W10" s="1324"/>
      <c r="X10" s="2606"/>
      <c r="Y10" s="2471"/>
      <c r="Z10" s="2606"/>
      <c r="AA10" s="2471"/>
      <c r="AB10" s="2471"/>
      <c r="AC10" s="2654"/>
      <c r="AD10" s="2559"/>
      <c r="AE10" s="2668"/>
      <c r="AF10" s="2471"/>
      <c r="AG10" s="231"/>
      <c r="AH10" s="352"/>
      <c r="AI10" s="352" t="s">
        <v>543</v>
      </c>
      <c r="AJ10" s="1320"/>
      <c r="AK10" s="1320"/>
      <c r="AL10" s="1320"/>
      <c r="AM10" s="1320"/>
      <c r="AN10" s="1320"/>
      <c r="AO10" s="1423"/>
      <c r="AP10" s="1320"/>
      <c r="AQ10" s="1320"/>
      <c r="AR10" s="1320"/>
      <c r="AS10" s="1320"/>
      <c r="AT10" s="1317"/>
      <c r="AU10" s="2625"/>
      <c r="AW10" s="437"/>
      <c r="AX10" s="437"/>
      <c r="AY10" s="437"/>
      <c r="AZ10" s="437"/>
      <c r="BA10" s="1082">
        <v>0</v>
      </c>
    </row>
    <row r="11" spans="1:53" ht="11.25" hidden="1" customHeight="1">
      <c r="A11" s="1290"/>
      <c r="B11" s="1290"/>
      <c r="C11" s="1290"/>
      <c r="D11" s="1290"/>
      <c r="E11" s="2602"/>
      <c r="F11" s="2602"/>
      <c r="G11" s="2602"/>
      <c r="H11" s="2602"/>
      <c r="I11" s="2604"/>
      <c r="J11" s="2604"/>
      <c r="K11" s="2603"/>
      <c r="L11" s="1291"/>
      <c r="P11" s="2605"/>
      <c r="Q11" s="2605"/>
      <c r="R11" s="2661"/>
      <c r="S11" s="2660"/>
      <c r="T11" s="2657"/>
      <c r="U11" s="237"/>
      <c r="V11" s="1320"/>
      <c r="W11" s="1323" t="str">
        <f>X8&amp;"-"&amp;Z8</f>
        <v>-</v>
      </c>
      <c r="X11" s="2607"/>
      <c r="Y11" s="2471"/>
      <c r="Z11" s="2607"/>
      <c r="AA11" s="2471"/>
      <c r="AB11" s="2471"/>
      <c r="AC11" s="249"/>
      <c r="AD11" s="251"/>
      <c r="AE11" s="352" t="s">
        <v>544</v>
      </c>
      <c r="AF11" s="1320"/>
      <c r="AG11" s="1320"/>
      <c r="AH11" s="1320"/>
      <c r="AI11" s="1320"/>
      <c r="AJ11" s="1320"/>
      <c r="AK11" s="1320"/>
      <c r="AL11" s="1320"/>
      <c r="AM11" s="1320"/>
      <c r="AN11" s="1320"/>
      <c r="AO11" s="1321" t="str">
        <f>AP8&amp;"-"&amp;AR8</f>
        <v>-</v>
      </c>
      <c r="AP11" s="1320"/>
      <c r="AQ11" s="1320"/>
      <c r="AR11" s="1320"/>
      <c r="AS11" s="1320"/>
      <c r="AT11" s="1276"/>
      <c r="AU11" s="2625"/>
      <c r="AW11" s="437"/>
      <c r="AX11" s="437" t="str">
        <f t="shared" ref="AX11:AX17" si="1">IF(T11="","",T11)</f>
        <v/>
      </c>
      <c r="AY11" s="437"/>
      <c r="AZ11" s="437"/>
      <c r="BA11" s="1082">
        <v>0</v>
      </c>
    </row>
    <row r="12" spans="1:53" ht="11.25" hidden="1" customHeight="1">
      <c r="A12" s="1290"/>
      <c r="B12" s="1290"/>
      <c r="C12" s="1290"/>
      <c r="D12" s="1290"/>
      <c r="E12" s="2602"/>
      <c r="F12" s="2602"/>
      <c r="G12" s="2602"/>
      <c r="H12" s="2602"/>
      <c r="I12" s="2604"/>
      <c r="J12" s="2603"/>
      <c r="K12" s="1290"/>
      <c r="L12" s="1291"/>
      <c r="P12" s="2605"/>
      <c r="Q12" s="2605"/>
      <c r="R12" s="293"/>
      <c r="S12" s="1205"/>
      <c r="T12" s="224" t="s">
        <v>545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626"/>
      <c r="AW12" s="437"/>
      <c r="AX12" s="437" t="str">
        <f t="shared" si="1"/>
        <v>Добавить строку</v>
      </c>
      <c r="AY12" s="437"/>
      <c r="AZ12" s="437"/>
      <c r="BA12" s="1082">
        <v>0</v>
      </c>
    </row>
    <row r="13" spans="1:53" s="1569" customFormat="1" ht="0.75" hidden="1" customHeight="1">
      <c r="A13" s="1270"/>
      <c r="B13" s="1270"/>
      <c r="C13" s="1270"/>
      <c r="D13" s="1270"/>
      <c r="E13" s="2602"/>
      <c r="F13" s="2602"/>
      <c r="G13" s="2602"/>
      <c r="H13" s="2602"/>
      <c r="I13" s="2603"/>
      <c r="J13" s="1270"/>
      <c r="K13" s="1270"/>
      <c r="L13" s="1273"/>
      <c r="M13" s="447"/>
      <c r="N13" s="447"/>
      <c r="O13" s="447"/>
      <c r="P13" s="260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602"/>
      <c r="F14" s="2602"/>
      <c r="G14" s="2602"/>
      <c r="H14" s="260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602"/>
      <c r="F15" s="2602"/>
      <c r="G15" s="2601"/>
      <c r="H15" s="1241"/>
      <c r="I15" s="1241"/>
      <c r="J15" s="1241"/>
      <c r="K15" s="1241"/>
      <c r="L15" s="1266"/>
      <c r="M15" s="1242"/>
      <c r="N15" s="1242"/>
      <c r="P15" s="1243"/>
      <c r="Q15" s="1244"/>
      <c r="R15" s="1243"/>
      <c r="S15" s="1249"/>
      <c r="T15" s="1252" t="s">
        <v>494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602"/>
      <c r="F16" s="2601"/>
      <c r="G16" s="1241"/>
      <c r="H16" s="1241"/>
      <c r="I16" s="1241"/>
      <c r="J16" s="1241"/>
      <c r="K16" s="1241"/>
      <c r="L16" s="1266"/>
      <c r="M16" s="1248"/>
      <c r="N16" s="1248"/>
      <c r="P16" s="1243"/>
      <c r="Q16" s="1244"/>
      <c r="R16" s="1243"/>
      <c r="S16" s="1249"/>
      <c r="T16" s="1252" t="s">
        <v>295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601"/>
      <c r="F17" s="1270"/>
      <c r="G17" s="1270"/>
      <c r="H17" s="1270"/>
      <c r="I17" s="1270"/>
      <c r="J17" s="1270"/>
      <c r="K17" s="1270"/>
      <c r="L17" s="1273"/>
      <c r="M17" s="1248"/>
      <c r="N17" s="1248"/>
      <c r="O17" s="455"/>
      <c r="P17" s="317"/>
      <c r="Q17" s="1271"/>
      <c r="R17" s="317"/>
      <c r="S17" s="1249"/>
      <c r="T17" s="1252" t="s">
        <v>299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66</v>
      </c>
      <c r="AR19" s="1663"/>
      <c r="AS19" s="1387" t="s">
        <v>66</v>
      </c>
      <c r="BA19" s="1082">
        <v>0</v>
      </c>
    </row>
    <row r="20" spans="1:53" ht="14.25" hidden="1" customHeight="1">
      <c r="AV20" s="433"/>
      <c r="AW20" s="433"/>
      <c r="AX20" s="433"/>
      <c r="AY20" s="433"/>
      <c r="AZ20" s="433"/>
      <c r="BA20" s="1082">
        <v>0</v>
      </c>
    </row>
    <row r="21" spans="1:53" ht="14.25" hidden="1" customHeight="1">
      <c r="O21" s="1294" t="s">
        <v>495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496</v>
      </c>
      <c r="P23" s="1435"/>
      <c r="Q23" s="1437"/>
      <c r="R23" s="1437"/>
      <c r="Y23" s="1434" t="s">
        <v>498</v>
      </c>
      <c r="AA23" s="1434" t="s">
        <v>499</v>
      </c>
      <c r="AB23" s="1434" t="s">
        <v>546</v>
      </c>
      <c r="AE23" s="1434" t="s">
        <v>547</v>
      </c>
      <c r="AF23" s="1434" t="s">
        <v>546</v>
      </c>
      <c r="AI23" s="1434" t="s">
        <v>548</v>
      </c>
      <c r="AJ23" s="1434" t="s">
        <v>546</v>
      </c>
      <c r="AM23" s="1434" t="s">
        <v>549</v>
      </c>
      <c r="AQ23" s="1434" t="s">
        <v>498</v>
      </c>
      <c r="AS23" s="1434" t="s">
        <v>499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58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82"/>
      <c r="U27" s="2582"/>
      <c r="V27" s="2582"/>
      <c r="W27" s="2582"/>
      <c r="X27" s="2582"/>
      <c r="Y27" s="2582"/>
      <c r="Z27" s="2582"/>
      <c r="AA27" s="2582"/>
      <c r="AB27" s="2582"/>
      <c r="AC27" s="2582"/>
      <c r="AD27" s="2582"/>
      <c r="AE27" s="2582"/>
      <c r="AF27" s="2582"/>
      <c r="AG27" s="2582"/>
      <c r="AH27" s="2582"/>
      <c r="AI27" s="2582"/>
      <c r="AJ27" s="2582"/>
      <c r="AK27" s="2582"/>
      <c r="AL27" s="2582"/>
      <c r="AM27" s="2582"/>
      <c r="AN27" s="2582"/>
      <c r="AO27" s="2582"/>
      <c r="AP27" s="2582"/>
      <c r="AQ27" s="2582"/>
      <c r="AR27" s="2582"/>
      <c r="AS27" s="1170"/>
      <c r="BA27" s="1082">
        <v>26</v>
      </c>
    </row>
    <row r="28" spans="1:53" ht="14.65" customHeight="1">
      <c r="Q28" s="228"/>
      <c r="R28" s="313"/>
      <c r="S28"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592" t="s">
        <v>42</v>
      </c>
      <c r="T30" s="2592"/>
      <c r="U30" s="1299"/>
      <c r="V30" s="2594" t="str">
        <f>IF(TITLE_NAME_OR_PR_CHANGE="",IF(TITLE_NAME_OR_PR="","",TITLE_NAME_OR_PR),TITLE_NAME_OR_PR_CHANGE)</f>
        <v>Региональная служба по тарифам Ростовской области</v>
      </c>
      <c r="W30" s="2594"/>
      <c r="X30" s="2594"/>
      <c r="Y30" s="2594"/>
      <c r="Z30" s="2594"/>
      <c r="AA30" s="263"/>
      <c r="AB30" s="2594" t="str">
        <f>IF(TITLE_NAME_OR_PR_CHANGE="",IF(TITLE_NAME_OR_PR="","",TITLE_NAME_OR_PR),TITLE_NAME_OR_PR_CHANGE)</f>
        <v>Региональная служба по тарифам Ростовской области</v>
      </c>
      <c r="AC30" s="2594"/>
      <c r="AD30" s="2594"/>
      <c r="AE30" s="2594"/>
      <c r="AF30" s="2594"/>
      <c r="AG30" s="2594"/>
      <c r="AH30" s="2594"/>
      <c r="AI30" s="2594"/>
      <c r="AJ30" s="2594"/>
      <c r="AK30" s="2594"/>
      <c r="AL30" s="2594"/>
      <c r="AM30" s="2594"/>
      <c r="AN30" s="2594"/>
      <c r="AO30" s="2594"/>
      <c r="AP30" s="2594"/>
      <c r="AQ30" s="2594"/>
      <c r="AR30" s="2594"/>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592" t="s">
        <v>501</v>
      </c>
      <c r="T31" s="2592"/>
      <c r="U31" s="1299"/>
      <c r="V31" s="2593">
        <f>IF(TITLE_DATE_PR_CHANGE="",IF(TITLE_DATE_PR="","",TITLE_DATE_PR),TITLE_DATE_PR_CHANGE)</f>
        <v>45596.468541666669</v>
      </c>
      <c r="W31" s="2593"/>
      <c r="X31" s="2593"/>
      <c r="Y31" s="2593"/>
      <c r="Z31" s="2593"/>
      <c r="AA31" s="263"/>
      <c r="AB31" s="2593">
        <f>IF(TITLE_DATE_PR_CHANGE="",IF(TITLE_DATE_PR="","",TITLE_DATE_PR),TITLE_DATE_PR_CHANGE)</f>
        <v>45596.468541666669</v>
      </c>
      <c r="AC31" s="2593"/>
      <c r="AD31" s="2593"/>
      <c r="AE31" s="2593"/>
      <c r="AF31" s="2593"/>
      <c r="AG31" s="2593"/>
      <c r="AH31" s="2593"/>
      <c r="AI31" s="2593"/>
      <c r="AJ31" s="2593"/>
      <c r="AK31" s="2593"/>
      <c r="AL31" s="2593"/>
      <c r="AM31" s="2593"/>
      <c r="AN31" s="2593"/>
      <c r="AO31" s="2593"/>
      <c r="AP31" s="2593"/>
      <c r="AQ31" s="2593"/>
      <c r="AR31" s="2593"/>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592" t="s">
        <v>502</v>
      </c>
      <c r="T32" s="2592"/>
      <c r="U32" s="1299"/>
      <c r="V32" s="2594" t="str">
        <f>IF(TITLE_NUMBER_PR_CHANGE="",IF(TITLE_NUMBER_PR="","",TITLE_NUMBER_PR),TITLE_NUMBER_PR_CHANGE)</f>
        <v>440,503</v>
      </c>
      <c r="W32" s="2594"/>
      <c r="X32" s="2594"/>
      <c r="Y32" s="2594"/>
      <c r="Z32" s="2594"/>
      <c r="AA32" s="263"/>
      <c r="AB32" s="2594" t="str">
        <f>IF(TITLE_NUMBER_PR_CHANGE="",IF(TITLE_NUMBER_PR="","",TITLE_NUMBER_PR),TITLE_NUMBER_PR_CHANGE)</f>
        <v>440,503</v>
      </c>
      <c r="AC32" s="2594"/>
      <c r="AD32" s="2594"/>
      <c r="AE32" s="2594"/>
      <c r="AF32" s="2594"/>
      <c r="AG32" s="2594"/>
      <c r="AH32" s="2594"/>
      <c r="AI32" s="2594"/>
      <c r="AJ32" s="2594"/>
      <c r="AK32" s="2594"/>
      <c r="AL32" s="2594"/>
      <c r="AM32" s="2594"/>
      <c r="AN32" s="2594"/>
      <c r="AO32" s="2594"/>
      <c r="AP32" s="2594"/>
      <c r="AQ32" s="2594"/>
      <c r="AR32" s="2594"/>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592" t="s">
        <v>44</v>
      </c>
      <c r="T33" s="2592"/>
      <c r="U33" s="1299"/>
      <c r="V33" s="2594" t="str">
        <f>IF(TITLE_IST_PUB_CHANGE="",IF(TITLE_IST_PUB="","",TITLE_IST_PUB),TITLE_IST_PUB_CHANGE)</f>
        <v>Региональная служба по тарифам Ростовской области</v>
      </c>
      <c r="W33" s="2594"/>
      <c r="X33" s="2594"/>
      <c r="Y33" s="2594"/>
      <c r="Z33" s="2594"/>
      <c r="AA33" s="263"/>
      <c r="AB33" s="2594" t="str">
        <f>IF(TITLE_IST_PUB_CHANGE="",IF(TITLE_IST_PUB="","",TITLE_IST_PUB),TITLE_IST_PUB_CHANGE)</f>
        <v>Региональная служба по тарифам Ростовской области</v>
      </c>
      <c r="AC33" s="2594"/>
      <c r="AD33" s="2594"/>
      <c r="AE33" s="2594"/>
      <c r="AF33" s="2594"/>
      <c r="AG33" s="2594"/>
      <c r="AH33" s="2594"/>
      <c r="AI33" s="2594"/>
      <c r="AJ33" s="2594"/>
      <c r="AK33" s="2594"/>
      <c r="AL33" s="2594"/>
      <c r="AM33" s="2594"/>
      <c r="AN33" s="2594"/>
      <c r="AO33" s="2594"/>
      <c r="AP33" s="2594"/>
      <c r="AQ33" s="2594"/>
      <c r="AR33" s="259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592" t="s">
        <v>501</v>
      </c>
      <c r="T35" s="2592"/>
      <c r="U35" s="1299"/>
      <c r="V35" s="2593">
        <f>IF(TITLE_DATE_PR_CHANGE="",IF(TITLE_DATE_PR="","",TITLE_DATE_PR),TITLE_DATE_PR_CHANGE)</f>
        <v>45596.468541666669</v>
      </c>
      <c r="W35" s="2593"/>
      <c r="X35" s="2593"/>
      <c r="Y35" s="2593"/>
      <c r="Z35" s="2593"/>
      <c r="AA35" s="263"/>
      <c r="AB35" s="2593">
        <f>IF(TITLE_DATE_PR_CHANGE="",IF(TITLE_DATE_PR="","",TITLE_DATE_PR),TITLE_DATE_PR_CHANGE)</f>
        <v>45596.468541666669</v>
      </c>
      <c r="AC35" s="2593"/>
      <c r="AD35" s="2593"/>
      <c r="AE35" s="2593"/>
      <c r="AF35" s="2593"/>
      <c r="AG35" s="2593"/>
      <c r="AH35" s="2593"/>
      <c r="AI35" s="2593"/>
      <c r="AJ35" s="2593"/>
      <c r="AK35" s="2593"/>
      <c r="AL35" s="2593"/>
      <c r="AM35" s="2593"/>
      <c r="AN35" s="2593"/>
      <c r="AO35" s="2593"/>
      <c r="AP35" s="2593"/>
      <c r="AQ35" s="2593"/>
      <c r="AR35" s="259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592" t="s">
        <v>502</v>
      </c>
      <c r="T36" s="2592"/>
      <c r="U36" s="1299"/>
      <c r="V36" s="2594" t="str">
        <f>IF(TITLE_NUMBER_PR_CHANGE="",IF(TITLE_NUMBER_PR="","",TITLE_NUMBER_PR),TITLE_NUMBER_PR_CHANGE)</f>
        <v>440,503</v>
      </c>
      <c r="W36" s="2594"/>
      <c r="X36" s="2594"/>
      <c r="Y36" s="2594"/>
      <c r="Z36" s="2594"/>
      <c r="AA36" s="263"/>
      <c r="AB36" s="2594" t="str">
        <f>IF(TITLE_NUMBER_PR_CHANGE="",IF(TITLE_NUMBER_PR="","",TITLE_NUMBER_PR),TITLE_NUMBER_PR_CHANGE)</f>
        <v>440,503</v>
      </c>
      <c r="AC36" s="2594"/>
      <c r="AD36" s="2594"/>
      <c r="AE36" s="2594"/>
      <c r="AF36" s="2594"/>
      <c r="AG36" s="2594"/>
      <c r="AH36" s="2594"/>
      <c r="AI36" s="2594"/>
      <c r="AJ36" s="2594"/>
      <c r="AK36" s="2594"/>
      <c r="AL36" s="2594"/>
      <c r="AM36" s="2594"/>
      <c r="AN36" s="2594"/>
      <c r="AO36" s="2594"/>
      <c r="AP36" s="2594"/>
      <c r="AQ36" s="2594"/>
      <c r="AR36" s="259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505</v>
      </c>
      <c r="AB37" s="263"/>
      <c r="AC37" s="263"/>
      <c r="AD37" s="263"/>
      <c r="AE37" s="263"/>
      <c r="AF37" s="263"/>
      <c r="AG37" s="263"/>
      <c r="AH37" s="263"/>
      <c r="AI37" s="263"/>
      <c r="AJ37" s="263"/>
      <c r="AK37" s="263"/>
      <c r="AL37" s="263"/>
      <c r="AM37" s="263"/>
      <c r="AN37" s="263"/>
      <c r="AO37" s="263"/>
      <c r="AP37" s="263"/>
      <c r="AQ37" s="263"/>
      <c r="AR37" s="263"/>
      <c r="AS37" s="215" t="s">
        <v>505</v>
      </c>
      <c r="AV37" s="305"/>
      <c r="AW37" s="305"/>
      <c r="AX37" s="305"/>
      <c r="AY37" s="305"/>
      <c r="AZ37" s="305"/>
      <c r="BA37" s="355">
        <v>1</v>
      </c>
    </row>
    <row r="38" spans="1:53" ht="14.65" customHeight="1">
      <c r="Q38" s="228"/>
      <c r="R38" s="313"/>
      <c r="S38" s="1202"/>
      <c r="T38" s="300"/>
      <c r="U38" s="1171"/>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BA38" s="1082">
        <v>14</v>
      </c>
    </row>
    <row r="39" spans="1:53" ht="14.65" customHeight="1">
      <c r="Q39" s="228"/>
      <c r="R39" s="313"/>
      <c r="S39" s="2461" t="s">
        <v>380</v>
      </c>
      <c r="T39" s="2461"/>
      <c r="U39" s="2461"/>
      <c r="V39" s="2461"/>
      <c r="W39" s="2461"/>
      <c r="X39" s="2461"/>
      <c r="Y39" s="2461"/>
      <c r="Z39" s="2461"/>
      <c r="AA39" s="2461"/>
      <c r="AB39" s="2535"/>
      <c r="AC39" s="2535"/>
      <c r="AD39" s="2535"/>
      <c r="AE39" s="2535"/>
      <c r="AF39" s="2461"/>
      <c r="AG39" s="2461"/>
      <c r="AH39" s="2461"/>
      <c r="AI39" s="2461"/>
      <c r="AJ39" s="2461"/>
      <c r="AK39" s="2461"/>
      <c r="AL39" s="2461"/>
      <c r="AM39" s="2461"/>
      <c r="AN39" s="2461"/>
      <c r="AO39" s="2461"/>
      <c r="AP39" s="2461"/>
      <c r="AQ39" s="2461"/>
      <c r="AR39" s="2461"/>
      <c r="AS39" s="2461"/>
      <c r="AT39" s="2461"/>
      <c r="AU39" s="2461" t="s">
        <v>381</v>
      </c>
      <c r="BA39" s="1082">
        <v>14</v>
      </c>
    </row>
    <row r="40" spans="1:53" ht="14.65" customHeight="1">
      <c r="Q40" s="228"/>
      <c r="R40" s="313"/>
      <c r="S40" s="2614" t="s">
        <v>88</v>
      </c>
      <c r="T40" s="2563" t="s">
        <v>550</v>
      </c>
      <c r="U40" s="238"/>
      <c r="V40" s="2616"/>
      <c r="W40" s="2616"/>
      <c r="X40" s="2616"/>
      <c r="Y40" s="2616"/>
      <c r="Z40" s="2617"/>
      <c r="AA40" s="2663" t="s">
        <v>508</v>
      </c>
      <c r="AB40" s="2647" t="s">
        <v>551</v>
      </c>
      <c r="AC40" s="2631"/>
      <c r="AD40" s="2631"/>
      <c r="AE40" s="2648"/>
      <c r="AF40" s="2631" t="s">
        <v>552</v>
      </c>
      <c r="AG40" s="2631"/>
      <c r="AH40" s="2631"/>
      <c r="AI40" s="2648"/>
      <c r="AJ40" s="2647" t="s">
        <v>553</v>
      </c>
      <c r="AK40" s="2631"/>
      <c r="AL40" s="2631"/>
      <c r="AM40" s="2648"/>
      <c r="AN40" s="2647" t="s">
        <v>507</v>
      </c>
      <c r="AO40" s="2631"/>
      <c r="AP40" s="2616"/>
      <c r="AQ40" s="2616"/>
      <c r="AR40" s="2617"/>
      <c r="AS40" s="2618" t="s">
        <v>508</v>
      </c>
      <c r="AT40" s="2621" t="s">
        <v>510</v>
      </c>
      <c r="AU40" s="2461"/>
      <c r="BA40" s="1082">
        <v>14</v>
      </c>
    </row>
    <row r="41" spans="1:53" ht="35.65" customHeight="1">
      <c r="Q41" s="228"/>
      <c r="R41" s="313"/>
      <c r="S41" s="2614"/>
      <c r="T41" s="2563"/>
      <c r="U41" s="961"/>
      <c r="V41" s="2461" t="s">
        <v>554</v>
      </c>
      <c r="W41" s="2461"/>
      <c r="X41" s="2536" t="s">
        <v>514</v>
      </c>
      <c r="Y41" s="2643"/>
      <c r="Z41" s="2537"/>
      <c r="AA41" s="2664"/>
      <c r="AB41" s="2649"/>
      <c r="AC41" s="2650"/>
      <c r="AD41" s="2650"/>
      <c r="AE41" s="2662"/>
      <c r="AF41" s="2650"/>
      <c r="AG41" s="2650"/>
      <c r="AH41" s="2650"/>
      <c r="AI41" s="2662"/>
      <c r="AJ41" s="2649"/>
      <c r="AK41" s="2650"/>
      <c r="AL41" s="2650"/>
      <c r="AM41" s="2650"/>
      <c r="AN41" s="2461" t="s">
        <v>554</v>
      </c>
      <c r="AO41" s="2461"/>
      <c r="AP41" s="2643" t="s">
        <v>514</v>
      </c>
      <c r="AQ41" s="2643"/>
      <c r="AR41" s="2537"/>
      <c r="AS41" s="2619"/>
      <c r="AT41" s="2622"/>
      <c r="AU41" s="2461"/>
      <c r="BA41" s="1082">
        <v>34</v>
      </c>
    </row>
    <row r="42" spans="1:53" ht="14.65" customHeight="1">
      <c r="Q42" s="228"/>
      <c r="R42" s="313"/>
      <c r="S42" s="2614"/>
      <c r="T42" s="2563"/>
      <c r="U42" s="961"/>
      <c r="V42" s="2667" t="str">
        <f>IF($AN$42&lt;&gt;"",$AN$42,"")</f>
        <v/>
      </c>
      <c r="W42" s="2667"/>
      <c r="X42" s="2541"/>
      <c r="Y42" s="2644"/>
      <c r="Z42" s="2542"/>
      <c r="AA42" s="2664"/>
      <c r="AB42" s="2649"/>
      <c r="AC42" s="2650"/>
      <c r="AD42" s="2650"/>
      <c r="AE42" s="2662"/>
      <c r="AF42" s="2650"/>
      <c r="AG42" s="2650"/>
      <c r="AH42" s="2650"/>
      <c r="AI42" s="2662"/>
      <c r="AJ42" s="2649"/>
      <c r="AK42" s="2650"/>
      <c r="AL42" s="2650"/>
      <c r="AM42" s="2650"/>
      <c r="AN42" s="2666"/>
      <c r="AO42" s="2666"/>
      <c r="AP42" s="2644"/>
      <c r="AQ42" s="2644"/>
      <c r="AR42" s="2542"/>
      <c r="AS42" s="2619"/>
      <c r="AT42" s="2622"/>
      <c r="AU42" s="2461"/>
      <c r="BA42" s="1082">
        <v>14</v>
      </c>
    </row>
    <row r="43" spans="1:53" ht="14.65" customHeight="1">
      <c r="A43" s="1297"/>
      <c r="B43" s="1297" t="s">
        <v>201</v>
      </c>
      <c r="C43" s="1297" t="s">
        <v>202</v>
      </c>
      <c r="D43" s="1297" t="s">
        <v>203</v>
      </c>
      <c r="E43" s="1291" t="s">
        <v>515</v>
      </c>
      <c r="F43" s="1291" t="s">
        <v>516</v>
      </c>
      <c r="G43" s="1291" t="s">
        <v>517</v>
      </c>
      <c r="H43" s="1291" t="s">
        <v>518</v>
      </c>
      <c r="I43" s="1291" t="s">
        <v>519</v>
      </c>
      <c r="J43" s="1291" t="s">
        <v>520</v>
      </c>
      <c r="K43" s="1291" t="s">
        <v>521</v>
      </c>
      <c r="L43" s="1291" t="s">
        <v>496</v>
      </c>
      <c r="Q43" s="228"/>
      <c r="R43" s="313"/>
      <c r="S43" s="2614"/>
      <c r="T43" s="2563"/>
      <c r="U43" s="239"/>
      <c r="V43" s="1257" t="s">
        <v>555</v>
      </c>
      <c r="W43" s="1257" t="s">
        <v>556</v>
      </c>
      <c r="X43" s="1265" t="s">
        <v>524</v>
      </c>
      <c r="Y43" s="2568" t="s">
        <v>525</v>
      </c>
      <c r="Z43" s="2581"/>
      <c r="AA43" s="2665"/>
      <c r="AB43" s="2651"/>
      <c r="AC43" s="2652"/>
      <c r="AD43" s="2652"/>
      <c r="AE43" s="2653"/>
      <c r="AF43" s="2652"/>
      <c r="AG43" s="2652"/>
      <c r="AH43" s="2652"/>
      <c r="AI43" s="2653"/>
      <c r="AJ43" s="2651"/>
      <c r="AK43" s="2652"/>
      <c r="AL43" s="2652"/>
      <c r="AM43" s="2653"/>
      <c r="AN43" s="1786" t="s">
        <v>555</v>
      </c>
      <c r="AO43" s="1786" t="s">
        <v>556</v>
      </c>
      <c r="AP43" s="1265" t="s">
        <v>524</v>
      </c>
      <c r="AQ43" s="2568" t="s">
        <v>525</v>
      </c>
      <c r="AR43" s="2581"/>
      <c r="AS43" s="2620"/>
      <c r="AT43" s="2623"/>
      <c r="AU43" s="246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177</v>
      </c>
      <c r="T44" s="1182" t="s">
        <v>102</v>
      </c>
      <c r="U44" s="1172" t="str">
        <f ca="1">OFFSET(U44,0,-1)</f>
        <v>2</v>
      </c>
      <c r="V44" s="1262">
        <f ca="1">OFFSET(V44,0,-1)+1</f>
        <v>3</v>
      </c>
      <c r="W44" s="1262">
        <f ca="1">OFFSET(W44,0,-1)+1</f>
        <v>4</v>
      </c>
      <c r="X44" s="1262">
        <f ca="1">OFFSET(X44,0,-1)+1</f>
        <v>5</v>
      </c>
      <c r="Y44" s="2612">
        <f ca="1">OFFSET(Y44,0,-1)+1</f>
        <v>6</v>
      </c>
      <c r="Z44" s="261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612">
        <f ca="1">OFFSET(AQ44,0,-1)+1</f>
        <v>4</v>
      </c>
      <c r="AR44" s="2612"/>
      <c r="AS44" s="1262">
        <f ca="1">OFFSET(AS44,0,-2)+1</f>
        <v>5</v>
      </c>
      <c r="AT44" s="1172">
        <f ca="1">OFFSET(AT44,0,-1)</f>
        <v>5</v>
      </c>
      <c r="AU44" s="1262">
        <f ca="1">OFFSET(AU44,0,-1)+1</f>
        <v>6</v>
      </c>
      <c r="AV44" s="448"/>
      <c r="AW44" s="448"/>
      <c r="AX44" s="448"/>
      <c r="AY44" s="448"/>
      <c r="AZ44" s="448"/>
      <c r="BA44" s="433">
        <v>0</v>
      </c>
    </row>
    <row r="45" spans="1:53" ht="107.25" customHeight="1">
      <c r="A45" s="1290" t="s">
        <v>264</v>
      </c>
      <c r="B45" s="1290"/>
      <c r="C45" s="1290"/>
      <c r="D45" s="1290"/>
      <c r="E45" s="260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189</v>
      </c>
      <c r="U45" s="237"/>
      <c r="V45" s="2596"/>
      <c r="W45" s="2596"/>
      <c r="X45" s="2596"/>
      <c r="Y45" s="2596"/>
      <c r="Z45" s="2596"/>
      <c r="AA45" s="2597"/>
      <c r="AB45" s="2595" t="str">
        <f>INDEX(PT_DIFFERENTIATION_NTAR,MATCH(A45,PT_DIFFERENTIATION_NTAR_ID,0))</f>
        <v/>
      </c>
      <c r="AC45" s="2596"/>
      <c r="AD45" s="2596"/>
      <c r="AE45" s="2596"/>
      <c r="AF45" s="2596"/>
      <c r="AG45" s="2596"/>
      <c r="AH45" s="2596"/>
      <c r="AI45" s="2596"/>
      <c r="AJ45" s="2596"/>
      <c r="AK45" s="2596"/>
      <c r="AL45" s="2596"/>
      <c r="AM45" s="2596"/>
      <c r="AN45" s="2596"/>
      <c r="AO45" s="2596"/>
      <c r="AP45" s="2596"/>
      <c r="AQ45" s="2596"/>
      <c r="AR45" s="2596"/>
      <c r="AS45" s="2596"/>
      <c r="AT45" s="259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264</v>
      </c>
      <c r="B46" s="1290" t="s">
        <v>265</v>
      </c>
      <c r="C46" s="1290"/>
      <c r="D46" s="1290"/>
      <c r="E46" s="2602"/>
      <c r="F46" s="2601">
        <v>1</v>
      </c>
      <c r="G46" s="1290"/>
      <c r="H46" s="1290"/>
      <c r="I46" s="1290"/>
      <c r="J46" s="1290"/>
      <c r="K46" s="1290"/>
      <c r="L46" s="1291"/>
      <c r="M46" s="1292"/>
      <c r="N46" s="1292"/>
      <c r="O46" s="1292"/>
      <c r="P46" s="1337"/>
      <c r="Q46" s="1338"/>
      <c r="R46" s="290"/>
      <c r="S46" s="1263" t="str">
        <f>INDEX(PT_DIFFERENTIATION_NUM_TER,MATCH(B46,PT_DIFFERENTIATION_TER_ID,0))</f>
        <v>.</v>
      </c>
      <c r="T46" s="245" t="s">
        <v>477</v>
      </c>
      <c r="U46" s="237"/>
      <c r="V46" s="2596"/>
      <c r="W46" s="2596"/>
      <c r="X46" s="2596"/>
      <c r="Y46" s="2596"/>
      <c r="Z46" s="2596"/>
      <c r="AA46" s="2597"/>
      <c r="AB46" s="2595" t="str">
        <f>INDEX(PT_DIFFERENTIATION_TER,MATCH(B46,PT_DIFFERENTIATION_TER_ID,0))</f>
        <v/>
      </c>
      <c r="AC46" s="2596"/>
      <c r="AD46" s="2596"/>
      <c r="AE46" s="2596"/>
      <c r="AF46" s="2596"/>
      <c r="AG46" s="2596"/>
      <c r="AH46" s="2596"/>
      <c r="AI46" s="2596"/>
      <c r="AJ46" s="2596"/>
      <c r="AK46" s="2596"/>
      <c r="AL46" s="2596"/>
      <c r="AM46" s="2596"/>
      <c r="AN46" s="2596"/>
      <c r="AO46" s="2596"/>
      <c r="AP46" s="2596"/>
      <c r="AQ46" s="2596"/>
      <c r="AR46" s="2596"/>
      <c r="AS46" s="2596"/>
      <c r="AT46" s="2597"/>
      <c r="AU46" s="1185" t="s">
        <v>478</v>
      </c>
      <c r="AW46" s="437"/>
      <c r="AX46" s="437" t="str">
        <f t="shared" si="2"/>
        <v>Территория действия тарифа</v>
      </c>
      <c r="AY46" s="437"/>
      <c r="AZ46" s="437"/>
      <c r="BA46" s="1082">
        <v>21</v>
      </c>
    </row>
    <row r="47" spans="1:53" ht="24" customHeight="1">
      <c r="A47" s="1290" t="s">
        <v>264</v>
      </c>
      <c r="B47" s="1290" t="s">
        <v>265</v>
      </c>
      <c r="C47" s="1290" t="s">
        <v>266</v>
      </c>
      <c r="D47" s="1290"/>
      <c r="E47" s="2602"/>
      <c r="F47" s="2602"/>
      <c r="G47" s="2601">
        <v>1</v>
      </c>
      <c r="H47" s="1290"/>
      <c r="I47" s="1290"/>
      <c r="J47" s="1290"/>
      <c r="K47" s="1290"/>
      <c r="L47" s="1291"/>
      <c r="M47" s="1292"/>
      <c r="N47" s="1292"/>
      <c r="O47" s="1292"/>
      <c r="P47" s="1339"/>
      <c r="Q47" s="1338"/>
      <c r="R47" s="290"/>
      <c r="S47" s="1263" t="str">
        <f>INDEX(PT_DIFFERENTIATION_NUM_CS,MATCH(C47,PT_DIFFERENTIATION_CS_ID,0))</f>
        <v>..</v>
      </c>
      <c r="T47" s="246" t="s">
        <v>479</v>
      </c>
      <c r="U47" s="237"/>
      <c r="V47" s="2596"/>
      <c r="W47" s="2596"/>
      <c r="X47" s="2596"/>
      <c r="Y47" s="2596"/>
      <c r="Z47" s="2596"/>
      <c r="AA47" s="2597"/>
      <c r="AB47" s="2595" t="str">
        <f>INDEX(PT_DIFFERENTIATION_CS,MATCH(C47,PT_DIFFERENTIATION_CS_ID,0))</f>
        <v/>
      </c>
      <c r="AC47" s="2596"/>
      <c r="AD47" s="2596"/>
      <c r="AE47" s="2596"/>
      <c r="AF47" s="2596"/>
      <c r="AG47" s="2596"/>
      <c r="AH47" s="2596"/>
      <c r="AI47" s="2596"/>
      <c r="AJ47" s="2596"/>
      <c r="AK47" s="2596"/>
      <c r="AL47" s="2596"/>
      <c r="AM47" s="2596"/>
      <c r="AN47" s="2596"/>
      <c r="AO47" s="2596"/>
      <c r="AP47" s="2596"/>
      <c r="AQ47" s="2596"/>
      <c r="AR47" s="2596"/>
      <c r="AS47" s="2596"/>
      <c r="AT47" s="2597"/>
      <c r="AU47" s="1185" t="s">
        <v>480</v>
      </c>
      <c r="AW47" s="437"/>
      <c r="AX47" s="437" t="str">
        <f t="shared" si="2"/>
        <v xml:space="preserve">Наименование системы теплоснабжения </v>
      </c>
      <c r="AY47" s="437"/>
      <c r="AZ47" s="437"/>
      <c r="BA47" s="1082">
        <v>23</v>
      </c>
    </row>
    <row r="48" spans="1:53" ht="21" customHeight="1">
      <c r="A48" s="1290" t="s">
        <v>264</v>
      </c>
      <c r="B48" s="1290" t="s">
        <v>265</v>
      </c>
      <c r="C48" s="1290" t="s">
        <v>266</v>
      </c>
      <c r="D48" s="1290" t="s">
        <v>267</v>
      </c>
      <c r="E48" s="2602"/>
      <c r="F48" s="2602"/>
      <c r="G48" s="2602"/>
      <c r="H48" s="2601">
        <v>1</v>
      </c>
      <c r="I48" s="1290"/>
      <c r="J48" s="1290"/>
      <c r="K48" s="1290"/>
      <c r="L48" s="1291"/>
      <c r="M48" s="1292"/>
      <c r="N48" s="1292"/>
      <c r="O48" s="1292"/>
      <c r="P48" s="1339"/>
      <c r="Q48" s="1338"/>
      <c r="R48" s="290"/>
      <c r="S48" s="1263" t="str">
        <f>INDEX(PT_DIFFERENTIATION_NUM_IST_TE,MATCH(D48,PT_DIFFERENTIATION_IST_TE_ID,0))</f>
        <v>...</v>
      </c>
      <c r="T48" s="247" t="s">
        <v>481</v>
      </c>
      <c r="U48" s="237"/>
      <c r="V48" s="2596"/>
      <c r="W48" s="2596"/>
      <c r="X48" s="2596"/>
      <c r="Y48" s="2596"/>
      <c r="Z48" s="2596"/>
      <c r="AA48" s="2597"/>
      <c r="AB48" s="2595" t="str">
        <f>INDEX(PT_DIFFERENTIATION_IST_TE,MATCH(D48,PT_DIFFERENTIATION_IST_TE_ID,0))</f>
        <v/>
      </c>
      <c r="AC48" s="2596"/>
      <c r="AD48" s="2596"/>
      <c r="AE48" s="2596"/>
      <c r="AF48" s="2596"/>
      <c r="AG48" s="2596"/>
      <c r="AH48" s="2596"/>
      <c r="AI48" s="2596"/>
      <c r="AJ48" s="2596"/>
      <c r="AK48" s="2596"/>
      <c r="AL48" s="2596"/>
      <c r="AM48" s="2596"/>
      <c r="AN48" s="2596"/>
      <c r="AO48" s="2596"/>
      <c r="AP48" s="2596"/>
      <c r="AQ48" s="2596"/>
      <c r="AR48" s="2596"/>
      <c r="AS48" s="2596"/>
      <c r="AT48" s="2597"/>
      <c r="AU48" s="1185" t="s">
        <v>482</v>
      </c>
      <c r="AW48" s="437"/>
      <c r="AX48" s="437" t="str">
        <f t="shared" si="2"/>
        <v xml:space="preserve">Источник тепловой энергии  </v>
      </c>
      <c r="AY48" s="437"/>
      <c r="AZ48" s="437"/>
      <c r="BA48" s="1082">
        <v>20</v>
      </c>
    </row>
    <row r="49" spans="1:53" s="1569" customFormat="1" ht="1.1499999999999999" customHeight="1">
      <c r="A49" s="1270" t="s">
        <v>264</v>
      </c>
      <c r="B49" s="1270" t="s">
        <v>265</v>
      </c>
      <c r="C49" s="1270" t="s">
        <v>266</v>
      </c>
      <c r="D49" s="1270" t="s">
        <v>267</v>
      </c>
      <c r="E49" s="2602"/>
      <c r="F49" s="2602"/>
      <c r="G49" s="2602"/>
      <c r="H49" s="2602"/>
      <c r="I49" s="2603" t="str">
        <f>S48&amp;".1"</f>
        <v>....1</v>
      </c>
      <c r="J49" s="1270"/>
      <c r="K49" s="1270"/>
      <c r="L49" s="1273" t="s">
        <v>483</v>
      </c>
      <c r="M49" s="447"/>
      <c r="N49" s="447"/>
      <c r="O49" s="447"/>
      <c r="P49" s="2605">
        <v>1</v>
      </c>
      <c r="Q49" s="1258"/>
      <c r="R49" s="293"/>
      <c r="S49" s="972"/>
      <c r="T49" s="1310"/>
      <c r="U49" s="1311"/>
      <c r="V49" s="2633"/>
      <c r="W49" s="2633"/>
      <c r="X49" s="2633"/>
      <c r="Y49" s="2633"/>
      <c r="Z49" s="2633"/>
      <c r="AA49" s="2634"/>
      <c r="AB49" s="2632"/>
      <c r="AC49" s="2633"/>
      <c r="AD49" s="2633"/>
      <c r="AE49" s="2633"/>
      <c r="AF49" s="2633"/>
      <c r="AG49" s="2633"/>
      <c r="AH49" s="2633"/>
      <c r="AI49" s="2633"/>
      <c r="AJ49" s="2633"/>
      <c r="AK49" s="2633"/>
      <c r="AL49" s="2633"/>
      <c r="AM49" s="2633"/>
      <c r="AN49" s="2633"/>
      <c r="AO49" s="2633"/>
      <c r="AP49" s="2633"/>
      <c r="AQ49" s="2633"/>
      <c r="AR49" s="2633"/>
      <c r="AS49" s="2633"/>
      <c r="AT49" s="2634"/>
      <c r="AU49" s="1312"/>
      <c r="AW49" s="437"/>
      <c r="AX49" s="437" t="str">
        <f t="shared" si="2"/>
        <v/>
      </c>
      <c r="AY49" s="437"/>
      <c r="AZ49" s="437"/>
      <c r="BA49" s="448">
        <v>1</v>
      </c>
    </row>
    <row r="50" spans="1:53" s="1569" customFormat="1" ht="1.1499999999999999" customHeight="1">
      <c r="A50" s="1270" t="s">
        <v>264</v>
      </c>
      <c r="B50" s="1270" t="s">
        <v>265</v>
      </c>
      <c r="C50" s="1270" t="s">
        <v>266</v>
      </c>
      <c r="D50" s="1270" t="s">
        <v>267</v>
      </c>
      <c r="E50" s="2602"/>
      <c r="F50" s="2602"/>
      <c r="G50" s="2602"/>
      <c r="H50" s="2602"/>
      <c r="I50" s="2604"/>
      <c r="J50" s="2603" t="str">
        <f>S48&amp;".1"</f>
        <v>....1</v>
      </c>
      <c r="K50" s="1270"/>
      <c r="L50" s="1273"/>
      <c r="M50" s="447"/>
      <c r="N50" s="447"/>
      <c r="O50" s="447"/>
      <c r="P50" s="2605"/>
      <c r="Q50" s="2605">
        <v>1</v>
      </c>
      <c r="R50" s="294"/>
      <c r="S50" s="972"/>
      <c r="T50" s="1326"/>
      <c r="U50" s="1311"/>
      <c r="V50" s="2633"/>
      <c r="W50" s="2633"/>
      <c r="X50" s="2633"/>
      <c r="Y50" s="2633"/>
      <c r="Z50" s="2633"/>
      <c r="AA50" s="2634"/>
      <c r="AB50" s="2632"/>
      <c r="AC50" s="2633"/>
      <c r="AD50" s="2633"/>
      <c r="AE50" s="2633"/>
      <c r="AF50" s="2633"/>
      <c r="AG50" s="2633"/>
      <c r="AH50" s="2633"/>
      <c r="AI50" s="2633"/>
      <c r="AJ50" s="2633"/>
      <c r="AK50" s="2633"/>
      <c r="AL50" s="2633"/>
      <c r="AM50" s="2633"/>
      <c r="AN50" s="2633"/>
      <c r="AO50" s="2633"/>
      <c r="AP50" s="2633"/>
      <c r="AQ50" s="2633"/>
      <c r="AR50" s="2633"/>
      <c r="AS50" s="2633"/>
      <c r="AT50" s="2634"/>
      <c r="AU50" s="1312"/>
      <c r="AW50" s="437"/>
      <c r="AX50" s="437" t="str">
        <f t="shared" si="2"/>
        <v/>
      </c>
      <c r="AY50" s="437"/>
      <c r="AZ50" s="437"/>
      <c r="BA50" s="448">
        <v>1</v>
      </c>
    </row>
    <row r="51" spans="1:53" ht="21.95" customHeight="1">
      <c r="A51" s="1290" t="s">
        <v>264</v>
      </c>
      <c r="B51" s="1290" t="s">
        <v>265</v>
      </c>
      <c r="C51" s="1290" t="s">
        <v>266</v>
      </c>
      <c r="D51" s="1290" t="s">
        <v>267</v>
      </c>
      <c r="E51" s="2602"/>
      <c r="F51" s="2602"/>
      <c r="G51" s="2602"/>
      <c r="H51" s="2602"/>
      <c r="I51" s="2604"/>
      <c r="J51" s="2604"/>
      <c r="K51" s="2603" t="str">
        <f>S48&amp;".1"</f>
        <v>....1</v>
      </c>
      <c r="L51" s="1291"/>
      <c r="P51" s="2605"/>
      <c r="Q51" s="2605"/>
      <c r="R51" s="294">
        <v>1</v>
      </c>
      <c r="S51" s="2658" t="str">
        <f>$K51</f>
        <v>....1</v>
      </c>
      <c r="T51" s="2655"/>
      <c r="U51" s="237"/>
      <c r="V51" s="688"/>
      <c r="W51" s="1184"/>
      <c r="X51" s="1661"/>
      <c r="Y51" s="1386" t="s">
        <v>66</v>
      </c>
      <c r="Z51" s="1661"/>
      <c r="AA51" s="1386" t="s">
        <v>66</v>
      </c>
      <c r="AB51" s="2471" t="s">
        <v>19</v>
      </c>
      <c r="AC51" s="2654"/>
      <c r="AD51" s="2559">
        <v>1</v>
      </c>
      <c r="AE51" s="2646" t="s">
        <v>28</v>
      </c>
      <c r="AF51" s="2471" t="s">
        <v>19</v>
      </c>
      <c r="AG51" s="2654"/>
      <c r="AH51" s="2559">
        <v>1</v>
      </c>
      <c r="AI51" s="2646" t="s">
        <v>28</v>
      </c>
      <c r="AJ51" s="2471" t="s">
        <v>19</v>
      </c>
      <c r="AK51" s="248"/>
      <c r="AL51" s="1264">
        <v>1</v>
      </c>
      <c r="AM51" s="1329"/>
      <c r="AN51" s="688"/>
      <c r="AO51" s="1184"/>
      <c r="AP51" s="1661"/>
      <c r="AQ51" s="1386" t="s">
        <v>66</v>
      </c>
      <c r="AR51" s="1661"/>
      <c r="AS51" s="1386" t="s">
        <v>66</v>
      </c>
      <c r="AT51" s="1275"/>
      <c r="AU51" s="2624" t="s">
        <v>557</v>
      </c>
      <c r="AV51" s="448" t="e">
        <f ca="1">STRCHECKDATE(V54:AT54)</f>
        <v>#NAME?</v>
      </c>
      <c r="AW51" s="437"/>
      <c r="AX51" s="437" t="str">
        <f t="shared" si="2"/>
        <v/>
      </c>
      <c r="AY51" s="437"/>
      <c r="AZ51" s="437"/>
      <c r="BA51" s="1082">
        <v>21</v>
      </c>
    </row>
    <row r="52" spans="1:53" ht="11.45" customHeight="1">
      <c r="A52" s="1290" t="s">
        <v>264</v>
      </c>
      <c r="B52" s="1290"/>
      <c r="C52" s="1290"/>
      <c r="D52" s="1290"/>
      <c r="E52" s="2602"/>
      <c r="F52" s="2602"/>
      <c r="G52" s="2602"/>
      <c r="H52" s="2602"/>
      <c r="I52" s="2604"/>
      <c r="J52" s="2604"/>
      <c r="K52" s="2603"/>
      <c r="L52" s="1291"/>
      <c r="P52" s="2605"/>
      <c r="Q52" s="2605"/>
      <c r="R52" s="294"/>
      <c r="S52" s="2659"/>
      <c r="T52" s="2656"/>
      <c r="U52" s="237"/>
      <c r="V52" s="1320"/>
      <c r="W52" s="1423"/>
      <c r="X52" s="1320"/>
      <c r="Y52" s="1320"/>
      <c r="Z52" s="1320"/>
      <c r="AA52" s="1320"/>
      <c r="AB52" s="2471"/>
      <c r="AC52" s="2654"/>
      <c r="AD52" s="2559"/>
      <c r="AE52" s="2646"/>
      <c r="AF52" s="2471"/>
      <c r="AG52" s="2654"/>
      <c r="AH52" s="2559"/>
      <c r="AI52" s="2646"/>
      <c r="AJ52" s="2471"/>
      <c r="AK52" s="253"/>
      <c r="AL52" s="353"/>
      <c r="AM52" s="352" t="s">
        <v>542</v>
      </c>
      <c r="AN52" s="1320"/>
      <c r="AO52" s="1423"/>
      <c r="AP52" s="1320"/>
      <c r="AQ52" s="1320"/>
      <c r="AR52" s="1320"/>
      <c r="AS52" s="1320"/>
      <c r="AT52" s="1317"/>
      <c r="AU52" s="2625"/>
      <c r="AW52" s="437"/>
      <c r="AX52" s="437"/>
      <c r="AY52" s="437"/>
      <c r="AZ52" s="437"/>
      <c r="BA52" s="1082">
        <v>11</v>
      </c>
    </row>
    <row r="53" spans="1:53" ht="11.45" customHeight="1">
      <c r="A53" s="1290" t="s">
        <v>264</v>
      </c>
      <c r="B53" s="1290"/>
      <c r="C53" s="1290"/>
      <c r="D53" s="1290"/>
      <c r="E53" s="2602"/>
      <c r="F53" s="2602"/>
      <c r="G53" s="2602"/>
      <c r="H53" s="2602"/>
      <c r="I53" s="2604"/>
      <c r="J53" s="2604"/>
      <c r="K53" s="2603"/>
      <c r="L53" s="1291"/>
      <c r="P53" s="2605"/>
      <c r="Q53" s="2605"/>
      <c r="R53" s="294"/>
      <c r="S53" s="2659"/>
      <c r="T53" s="2656"/>
      <c r="U53" s="237"/>
      <c r="V53" s="1320"/>
      <c r="W53" s="1423"/>
      <c r="X53" s="1320"/>
      <c r="Y53" s="1320"/>
      <c r="Z53" s="1320"/>
      <c r="AA53" s="1320"/>
      <c r="AB53" s="2471"/>
      <c r="AC53" s="2654"/>
      <c r="AD53" s="2559"/>
      <c r="AE53" s="2646"/>
      <c r="AF53" s="2471"/>
      <c r="AG53" s="231"/>
      <c r="AH53" s="352"/>
      <c r="AI53" s="352" t="s">
        <v>543</v>
      </c>
      <c r="AJ53" s="1320"/>
      <c r="AK53" s="1320"/>
      <c r="AL53" s="1320"/>
      <c r="AM53" s="1320"/>
      <c r="AN53" s="1320"/>
      <c r="AO53" s="1423"/>
      <c r="AP53" s="1320"/>
      <c r="AQ53" s="1320"/>
      <c r="AR53" s="1320"/>
      <c r="AS53" s="1320"/>
      <c r="AT53" s="1317"/>
      <c r="AU53" s="2625"/>
      <c r="AW53" s="437"/>
      <c r="AX53" s="437"/>
      <c r="AY53" s="437"/>
      <c r="AZ53" s="437"/>
      <c r="BA53" s="1082">
        <v>11</v>
      </c>
    </row>
    <row r="54" spans="1:53" ht="11.45" customHeight="1">
      <c r="A54" s="1290" t="s">
        <v>264</v>
      </c>
      <c r="B54" s="1290" t="s">
        <v>265</v>
      </c>
      <c r="C54" s="1290" t="s">
        <v>266</v>
      </c>
      <c r="D54" s="1290" t="s">
        <v>267</v>
      </c>
      <c r="E54" s="2602"/>
      <c r="F54" s="2602"/>
      <c r="G54" s="2602"/>
      <c r="H54" s="2602"/>
      <c r="I54" s="2604"/>
      <c r="J54" s="2604"/>
      <c r="K54" s="2603"/>
      <c r="L54" s="1291"/>
      <c r="P54" s="2605"/>
      <c r="Q54" s="2605"/>
      <c r="R54" s="294"/>
      <c r="S54" s="2660"/>
      <c r="T54" s="2657"/>
      <c r="U54" s="237"/>
      <c r="V54" s="1320"/>
      <c r="W54" s="1321" t="str">
        <f>X51&amp;"-"&amp;Z51</f>
        <v>-</v>
      </c>
      <c r="X54" s="1320"/>
      <c r="Y54" s="1320"/>
      <c r="Z54" s="1320"/>
      <c r="AA54" s="1320"/>
      <c r="AB54" s="2471"/>
      <c r="AC54" s="249"/>
      <c r="AD54" s="251"/>
      <c r="AE54" s="352" t="s">
        <v>544</v>
      </c>
      <c r="AF54" s="1320"/>
      <c r="AG54" s="1320"/>
      <c r="AH54" s="1320"/>
      <c r="AI54" s="1320"/>
      <c r="AJ54" s="1320"/>
      <c r="AK54" s="1320"/>
      <c r="AL54" s="1320"/>
      <c r="AM54" s="1320"/>
      <c r="AN54" s="1320"/>
      <c r="AO54" s="1321" t="str">
        <f>AP51&amp;"-"&amp;AR51</f>
        <v>-</v>
      </c>
      <c r="AP54" s="1320"/>
      <c r="AQ54" s="1320"/>
      <c r="AR54" s="1320"/>
      <c r="AS54" s="1320"/>
      <c r="AT54" s="1276"/>
      <c r="AU54" s="2625"/>
      <c r="AW54" s="437"/>
      <c r="AX54" s="437" t="str">
        <f t="shared" ref="AX54:AX62" si="3">IF(T54="","",T54)</f>
        <v/>
      </c>
      <c r="AY54" s="437"/>
      <c r="AZ54" s="437"/>
      <c r="BA54" s="1082">
        <v>11</v>
      </c>
    </row>
    <row r="55" spans="1:53" ht="11.45" customHeight="1">
      <c r="A55" s="1290" t="s">
        <v>264</v>
      </c>
      <c r="B55" s="1290" t="s">
        <v>265</v>
      </c>
      <c r="C55" s="1290" t="s">
        <v>266</v>
      </c>
      <c r="D55" s="1290" t="s">
        <v>267</v>
      </c>
      <c r="E55" s="2602"/>
      <c r="F55" s="2602"/>
      <c r="G55" s="2602"/>
      <c r="H55" s="2602"/>
      <c r="I55" s="2604"/>
      <c r="J55" s="2603"/>
      <c r="K55" s="1290"/>
      <c r="L55" s="1291"/>
      <c r="P55" s="2605"/>
      <c r="Q55" s="2605"/>
      <c r="R55" s="293"/>
      <c r="S55" s="1205"/>
      <c r="T55" s="224" t="s">
        <v>545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626"/>
      <c r="AW55" s="437"/>
      <c r="AX55" s="437" t="str">
        <f t="shared" si="3"/>
        <v>Добавить строку</v>
      </c>
      <c r="AY55" s="437"/>
      <c r="AZ55" s="437"/>
      <c r="BA55" s="1082">
        <v>11</v>
      </c>
    </row>
    <row r="56" spans="1:53" s="1569" customFormat="1" ht="1.1499999999999999" customHeight="1">
      <c r="A56" s="1270" t="s">
        <v>264</v>
      </c>
      <c r="B56" s="1270" t="s">
        <v>265</v>
      </c>
      <c r="C56" s="1270" t="s">
        <v>266</v>
      </c>
      <c r="D56" s="1270" t="s">
        <v>267</v>
      </c>
      <c r="E56" s="2602"/>
      <c r="F56" s="2602"/>
      <c r="G56" s="2602"/>
      <c r="H56" s="2602"/>
      <c r="I56" s="2603"/>
      <c r="J56" s="1270"/>
      <c r="K56" s="1270"/>
      <c r="L56" s="1273"/>
      <c r="M56" s="447"/>
      <c r="N56" s="447"/>
      <c r="O56" s="447"/>
      <c r="P56" s="2605"/>
      <c r="Q56" s="1258"/>
      <c r="R56" s="293"/>
      <c r="S56" s="1313"/>
      <c r="T56" s="1314" t="s">
        <v>492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264</v>
      </c>
      <c r="B57" s="1270" t="s">
        <v>265</v>
      </c>
      <c r="C57" s="1270" t="s">
        <v>266</v>
      </c>
      <c r="D57" s="1270" t="s">
        <v>267</v>
      </c>
      <c r="E57" s="2602"/>
      <c r="F57" s="2602"/>
      <c r="G57" s="2602"/>
      <c r="H57" s="260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264</v>
      </c>
      <c r="B58" s="1270" t="s">
        <v>265</v>
      </c>
      <c r="C58" s="1270" t="s">
        <v>266</v>
      </c>
      <c r="D58" s="1241"/>
      <c r="E58" s="2602"/>
      <c r="F58" s="2602"/>
      <c r="G58" s="2601"/>
      <c r="H58" s="1241"/>
      <c r="I58" s="1241"/>
      <c r="J58" s="1241"/>
      <c r="K58" s="1241"/>
      <c r="L58" s="1266"/>
      <c r="M58" s="1242"/>
      <c r="N58" s="1242"/>
      <c r="P58" s="1243"/>
      <c r="Q58" s="1244"/>
      <c r="R58" s="1243"/>
      <c r="S58" s="1249"/>
      <c r="T58" s="1252" t="s">
        <v>494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264</v>
      </c>
      <c r="B59" s="1270" t="s">
        <v>265</v>
      </c>
      <c r="C59" s="1241"/>
      <c r="D59" s="1241"/>
      <c r="E59" s="2602"/>
      <c r="F59" s="2601"/>
      <c r="G59" s="1241"/>
      <c r="H59" s="1241"/>
      <c r="I59" s="1241"/>
      <c r="J59" s="1241"/>
      <c r="K59" s="1241"/>
      <c r="L59" s="1266"/>
      <c r="M59" s="1248"/>
      <c r="N59" s="1248"/>
      <c r="P59" s="1243"/>
      <c r="Q59" s="1244"/>
      <c r="R59" s="1243"/>
      <c r="S59" s="1249"/>
      <c r="T59" s="1252" t="s">
        <v>295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264</v>
      </c>
      <c r="B60" s="1270"/>
      <c r="C60" s="1270"/>
      <c r="D60" s="1270"/>
      <c r="E60" s="2602"/>
      <c r="F60" s="1270"/>
      <c r="G60" s="1270"/>
      <c r="H60" s="1270"/>
      <c r="I60" s="1270"/>
      <c r="J60" s="1270"/>
      <c r="K60" s="1270"/>
      <c r="L60" s="1273"/>
      <c r="M60" s="1248"/>
      <c r="N60" s="1248"/>
      <c r="O60" s="455"/>
      <c r="P60" s="317"/>
      <c r="Q60" s="1271"/>
      <c r="R60" s="317"/>
      <c r="S60" s="1249"/>
      <c r="T60" s="1252" t="s">
        <v>299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264</v>
      </c>
      <c r="B61" s="1270"/>
      <c r="C61" s="1270"/>
      <c r="D61" s="1270"/>
      <c r="E61" s="2601"/>
      <c r="F61" s="1270"/>
      <c r="G61" s="1270"/>
      <c r="H61" s="1270"/>
      <c r="I61" s="1270"/>
      <c r="J61" s="1270"/>
      <c r="K61" s="1270"/>
      <c r="L61" s="1273"/>
      <c r="M61" s="1248"/>
      <c r="N61" s="1248"/>
      <c r="O61" s="455"/>
      <c r="P61" s="317"/>
      <c r="Q61" s="1271"/>
      <c r="R61" s="317"/>
      <c r="S61" s="1249"/>
      <c r="T61" s="1252" t="s">
        <v>299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300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c r="AS64" s="2600"/>
      <c r="AT64" s="2600"/>
      <c r="AU64" s="2600"/>
      <c r="BA64" s="1082">
        <v>19</v>
      </c>
    </row>
    <row r="65" spans="1:53" ht="21" customHeight="1">
      <c r="O65" s="474"/>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BA67" s="1082">
        <v>19</v>
      </c>
    </row>
    <row r="68" spans="1:53" ht="16.899999999999999" customHeight="1">
      <c r="O68" s="474"/>
      <c r="T68" s="2600"/>
      <c r="U68" s="2600"/>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R68" s="2600"/>
      <c r="AS68" s="2600"/>
      <c r="AT68" s="2600"/>
      <c r="AU68" s="2600"/>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X68"/>
  <sheetViews>
    <sheetView showGridLines="0" zoomScale="90" workbookViewId="0">
      <pane xSplit="28" ySplit="40" topLeftCell="AC41" activePane="bottomRight" state="frozen"/>
      <selection pane="topRight" activeCell="AC1" sqref="AC1"/>
      <selection pane="bottomLeft" activeCell="A41" sqref="A41"/>
      <selection pane="bottomRight" activeCell="AJ46" sqref="AJ46"/>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1" max="41" width="12.85546875" customWidth="1"/>
    <col min="42" max="42" width="10.5703125"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1562"/>
      <c r="AX1" s="1082" t="s">
        <v>14</v>
      </c>
    </row>
    <row r="2" spans="1:50" ht="23.25" hidden="1" customHeight="1">
      <c r="A2" s="1290"/>
      <c r="B2" s="1290"/>
      <c r="C2" s="1290"/>
      <c r="D2" s="1290"/>
      <c r="E2" s="2601">
        <v>1</v>
      </c>
      <c r="F2" s="1290"/>
      <c r="G2" s="1290"/>
      <c r="H2" s="1290"/>
      <c r="I2" s="1290"/>
      <c r="J2" s="1290"/>
      <c r="K2" s="1290"/>
      <c r="L2" s="1291"/>
      <c r="M2" s="1292"/>
      <c r="N2" s="1292"/>
      <c r="O2" s="1292"/>
      <c r="P2" s="298"/>
      <c r="Q2" s="297"/>
      <c r="R2" s="292"/>
      <c r="S2" s="1352" t="e">
        <f>INDEX(PT_DIFFERENTIATION_NUM_NTAR,MATCH(A2,PT_DIFFERENTIATION_NTAR_ID,0))</f>
        <v>#N/A</v>
      </c>
      <c r="T2" s="235" t="s">
        <v>189</v>
      </c>
      <c r="U2" s="237"/>
      <c r="V2" s="2595"/>
      <c r="W2" s="2596"/>
      <c r="X2" s="2596"/>
      <c r="Y2" s="2596"/>
      <c r="Z2" s="2596"/>
      <c r="AA2" s="2596"/>
      <c r="AB2" s="2597"/>
      <c r="AC2" s="2595" t="e">
        <f>INDEX(PT_DIFFERENTIATION_NTAR,MATCH(A2,PT_DIFFERENTIATION_NTAR_ID,0))</f>
        <v>#N/A</v>
      </c>
      <c r="AD2" s="2596"/>
      <c r="AE2" s="2596"/>
      <c r="AF2" s="2596"/>
      <c r="AG2" s="2596"/>
      <c r="AH2" s="2596"/>
      <c r="AI2" s="2596"/>
      <c r="AJ2" s="2595"/>
      <c r="AK2" s="2596"/>
      <c r="AL2" s="2596"/>
      <c r="AM2" s="2596"/>
      <c r="AN2" s="2596"/>
      <c r="AO2" s="2596"/>
      <c r="AP2" s="2597"/>
      <c r="AQ2" s="2597"/>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2602"/>
      <c r="F3" s="2601">
        <v>1</v>
      </c>
      <c r="G3" s="1290"/>
      <c r="H3" s="1290"/>
      <c r="I3" s="1290"/>
      <c r="J3" s="1290"/>
      <c r="K3" s="1290"/>
      <c r="L3" s="1291"/>
      <c r="M3" s="1292"/>
      <c r="N3" s="1292"/>
      <c r="O3" s="1292"/>
      <c r="P3" s="1350"/>
      <c r="Q3" s="289"/>
      <c r="R3" s="290"/>
      <c r="S3" s="1352" t="e">
        <f>INDEX(PT_DIFFERENTIATION_NUM_TER,MATCH(B3,PT_DIFFERENTIATION_TER_ID,0))</f>
        <v>#N/A</v>
      </c>
      <c r="T3" s="245" t="s">
        <v>477</v>
      </c>
      <c r="U3" s="237"/>
      <c r="V3" s="2595"/>
      <c r="W3" s="2596"/>
      <c r="X3" s="2596"/>
      <c r="Y3" s="2596"/>
      <c r="Z3" s="2596"/>
      <c r="AA3" s="2596"/>
      <c r="AB3" s="2597"/>
      <c r="AC3" s="2595" t="e">
        <f>INDEX(PT_DIFFERENTIATION_TER,MATCH(B3,PT_DIFFERENTIATION_TER_ID,0))</f>
        <v>#N/A</v>
      </c>
      <c r="AD3" s="2596"/>
      <c r="AE3" s="2596"/>
      <c r="AF3" s="2596"/>
      <c r="AG3" s="2596"/>
      <c r="AH3" s="2596"/>
      <c r="AI3" s="2596"/>
      <c r="AJ3" s="2595"/>
      <c r="AK3" s="2596"/>
      <c r="AL3" s="2596"/>
      <c r="AM3" s="2596"/>
      <c r="AN3" s="2596"/>
      <c r="AO3" s="2596"/>
      <c r="AP3" s="2597"/>
      <c r="AQ3" s="2597"/>
      <c r="AR3" s="1185" t="s">
        <v>478</v>
      </c>
      <c r="AT3" s="437"/>
      <c r="AU3" s="437" t="str">
        <f t="shared" si="0"/>
        <v>Территория действия тарифа</v>
      </c>
      <c r="AV3" s="437"/>
      <c r="AW3" s="437"/>
      <c r="AX3" s="1082">
        <v>0</v>
      </c>
    </row>
    <row r="4" spans="1:50" ht="23.25" hidden="1" customHeight="1">
      <c r="A4" s="1290"/>
      <c r="B4" s="1290"/>
      <c r="C4" s="1290"/>
      <c r="D4" s="1290"/>
      <c r="E4" s="2602"/>
      <c r="F4" s="2602"/>
      <c r="G4" s="2601">
        <v>1</v>
      </c>
      <c r="H4" s="1290"/>
      <c r="I4" s="1290"/>
      <c r="J4" s="1290"/>
      <c r="K4" s="1290"/>
      <c r="L4" s="1291"/>
      <c r="M4" s="1292"/>
      <c r="N4" s="1292"/>
      <c r="O4" s="1292"/>
      <c r="P4" s="291"/>
      <c r="Q4" s="289"/>
      <c r="R4" s="290"/>
      <c r="S4" s="1352" t="e">
        <f>INDEX(PT_DIFFERENTIATION_NUM_CS,MATCH(C4,PT_DIFFERENTIATION_CS_ID,0))</f>
        <v>#N/A</v>
      </c>
      <c r="T4" s="246" t="s">
        <v>558</v>
      </c>
      <c r="U4" s="237"/>
      <c r="V4" s="2595"/>
      <c r="W4" s="2596"/>
      <c r="X4" s="2596"/>
      <c r="Y4" s="2596"/>
      <c r="Z4" s="2596"/>
      <c r="AA4" s="2596"/>
      <c r="AB4" s="2597"/>
      <c r="AC4" s="2595" t="e">
        <f>INDEX(PT_DIFFERENTIATION_CS,MATCH(C4,PT_DIFFERENTIATION_CS_ID,0))</f>
        <v>#N/A</v>
      </c>
      <c r="AD4" s="2596"/>
      <c r="AE4" s="2596"/>
      <c r="AF4" s="2596"/>
      <c r="AG4" s="2596"/>
      <c r="AH4" s="2596"/>
      <c r="AI4" s="2596"/>
      <c r="AJ4" s="2595"/>
      <c r="AK4" s="2596"/>
      <c r="AL4" s="2596"/>
      <c r="AM4" s="2596"/>
      <c r="AN4" s="2596"/>
      <c r="AO4" s="2596"/>
      <c r="AP4" s="2597"/>
      <c r="AQ4" s="2597"/>
      <c r="AR4" s="1185" t="s">
        <v>559</v>
      </c>
      <c r="AT4" s="437"/>
      <c r="AU4" s="437" t="str">
        <f t="shared" si="0"/>
        <v>Наименование централизованной системы холодного водоснабжения</v>
      </c>
      <c r="AV4" s="437"/>
      <c r="AW4" s="437"/>
      <c r="AX4" s="1082">
        <v>0</v>
      </c>
    </row>
    <row r="5" spans="1:50" ht="23.25" hidden="1" customHeight="1">
      <c r="A5" s="1290"/>
      <c r="B5" s="1290"/>
      <c r="C5" s="1290"/>
      <c r="D5" s="1290"/>
      <c r="E5" s="2602"/>
      <c r="F5" s="2602"/>
      <c r="G5" s="2602"/>
      <c r="H5" s="2602"/>
      <c r="I5" s="2603" t="e">
        <f>S4&amp;".1"</f>
        <v>#N/A</v>
      </c>
      <c r="J5" s="1290"/>
      <c r="K5" s="1290"/>
      <c r="L5" s="1291"/>
      <c r="P5" s="2605">
        <v>1</v>
      </c>
      <c r="Q5" s="1349"/>
      <c r="R5" s="293"/>
      <c r="S5" s="1352" t="e">
        <f>$I5</f>
        <v>#N/A</v>
      </c>
      <c r="T5" s="222" t="s">
        <v>560</v>
      </c>
      <c r="U5" s="237"/>
      <c r="V5" s="2669"/>
      <c r="W5" s="2670"/>
      <c r="X5" s="2670"/>
      <c r="Y5" s="2670"/>
      <c r="Z5" s="2670"/>
      <c r="AA5" s="2670"/>
      <c r="AB5" s="2671"/>
      <c r="AC5" s="2672"/>
      <c r="AD5" s="2673"/>
      <c r="AE5" s="2673"/>
      <c r="AF5" s="2673"/>
      <c r="AG5" s="2673"/>
      <c r="AH5" s="2673"/>
      <c r="AI5" s="2673"/>
      <c r="AJ5" s="2669"/>
      <c r="AK5" s="2670"/>
      <c r="AL5" s="2670"/>
      <c r="AM5" s="2670"/>
      <c r="AN5" s="2670"/>
      <c r="AO5" s="2670"/>
      <c r="AP5" s="2671"/>
      <c r="AQ5" s="2674"/>
      <c r="AR5" s="1185" t="s">
        <v>561</v>
      </c>
      <c r="AT5" s="437"/>
      <c r="AU5" s="437" t="str">
        <f t="shared" si="0"/>
        <v>Наименование признака дифференциации</v>
      </c>
      <c r="AV5" s="437"/>
      <c r="AW5" s="437"/>
      <c r="AX5" s="1082">
        <v>0</v>
      </c>
    </row>
    <row r="6" spans="1:50" ht="23.25" hidden="1" customHeight="1">
      <c r="A6" s="1290"/>
      <c r="B6" s="1290"/>
      <c r="C6" s="1290"/>
      <c r="D6" s="1290"/>
      <c r="E6" s="2602"/>
      <c r="F6" s="2602"/>
      <c r="G6" s="2602"/>
      <c r="H6" s="2602"/>
      <c r="I6" s="2604"/>
      <c r="J6" s="2603" t="e">
        <f>I5&amp;".1"</f>
        <v>#N/A</v>
      </c>
      <c r="K6" s="1290"/>
      <c r="L6" s="1291" t="s">
        <v>486</v>
      </c>
      <c r="P6" s="2605"/>
      <c r="Q6" s="2605">
        <v>1</v>
      </c>
      <c r="R6" s="294"/>
      <c r="S6" s="1352" t="e">
        <f>$J6</f>
        <v>#N/A</v>
      </c>
      <c r="T6" s="223" t="s">
        <v>487</v>
      </c>
      <c r="U6" s="237"/>
      <c r="V6" s="2589"/>
      <c r="W6" s="2590"/>
      <c r="X6" s="2590"/>
      <c r="Y6" s="2590"/>
      <c r="Z6" s="2590"/>
      <c r="AA6" s="2590"/>
      <c r="AB6" s="2591"/>
      <c r="AC6" s="2589"/>
      <c r="AD6" s="2590"/>
      <c r="AE6" s="2590"/>
      <c r="AF6" s="2590"/>
      <c r="AG6" s="2590"/>
      <c r="AH6" s="2590"/>
      <c r="AI6" s="2590"/>
      <c r="AJ6" s="2589"/>
      <c r="AK6" s="2590"/>
      <c r="AL6" s="2590"/>
      <c r="AM6" s="2590"/>
      <c r="AN6" s="2590"/>
      <c r="AO6" s="2590"/>
      <c r="AP6" s="2591"/>
      <c r="AQ6" s="2591"/>
      <c r="AR6" s="1234" t="s">
        <v>562</v>
      </c>
      <c r="AT6" s="437"/>
      <c r="AU6" s="437" t="str">
        <f t="shared" si="0"/>
        <v>Группа потребителей</v>
      </c>
      <c r="AV6" s="437"/>
      <c r="AW6" s="437"/>
      <c r="AX6" s="1082">
        <v>0</v>
      </c>
    </row>
    <row r="7" spans="1:50" ht="23.25" hidden="1" customHeight="1">
      <c r="A7" s="1290"/>
      <c r="B7" s="1290"/>
      <c r="C7" s="1290"/>
      <c r="D7" s="1290"/>
      <c r="E7" s="2602"/>
      <c r="F7" s="2602"/>
      <c r="G7" s="2602"/>
      <c r="H7" s="2602"/>
      <c r="I7" s="2604"/>
      <c r="J7" s="2604"/>
      <c r="K7" s="2603" t="e">
        <f>J6&amp;".1"</f>
        <v>#N/A</v>
      </c>
      <c r="L7" s="1291"/>
      <c r="P7" s="2605"/>
      <c r="Q7" s="2605"/>
      <c r="R7" s="294">
        <v>1</v>
      </c>
      <c r="S7" s="1352" t="e">
        <f>$K7</f>
        <v>#N/A</v>
      </c>
      <c r="T7" s="1364"/>
      <c r="U7" s="237"/>
      <c r="V7" s="688"/>
      <c r="W7" s="688"/>
      <c r="X7" s="1184"/>
      <c r="Y7" s="2606"/>
      <c r="Z7" s="2471" t="s">
        <v>66</v>
      </c>
      <c r="AA7" s="2606"/>
      <c r="AB7" s="2471" t="s">
        <v>66</v>
      </c>
      <c r="AC7" s="688"/>
      <c r="AD7" s="688"/>
      <c r="AE7" s="1184"/>
      <c r="AF7" s="2606"/>
      <c r="AG7" s="2471" t="s">
        <v>66</v>
      </c>
      <c r="AH7" s="2608"/>
      <c r="AI7" s="2471" t="s">
        <v>66</v>
      </c>
      <c r="AJ7" s="688"/>
      <c r="AK7" s="688"/>
      <c r="AL7" s="1184"/>
      <c r="AM7" s="2606"/>
      <c r="AN7" s="2471" t="s">
        <v>66</v>
      </c>
      <c r="AO7" s="2606"/>
      <c r="AP7" s="2471" t="s">
        <v>66</v>
      </c>
      <c r="AQ7" s="1365"/>
      <c r="AR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2602"/>
      <c r="F8" s="2602"/>
      <c r="G8" s="2602"/>
      <c r="H8" s="2602"/>
      <c r="I8" s="2604"/>
      <c r="J8" s="2604"/>
      <c r="K8" s="2603"/>
      <c r="L8" s="1291"/>
      <c r="P8" s="2605"/>
      <c r="Q8" s="2605"/>
      <c r="R8" s="294"/>
      <c r="S8" s="1351"/>
      <c r="T8" s="237"/>
      <c r="U8" s="237"/>
      <c r="V8" s="262"/>
      <c r="W8" s="262"/>
      <c r="X8" s="265" t="str">
        <f>Y7&amp;"-"&amp;AA7</f>
        <v>-</v>
      </c>
      <c r="Y8" s="2607"/>
      <c r="Z8" s="2471"/>
      <c r="AA8" s="2607"/>
      <c r="AB8" s="2471"/>
      <c r="AC8" s="262"/>
      <c r="AD8" s="262"/>
      <c r="AE8" s="265" t="str">
        <f>AF7&amp;"-"&amp;AH7</f>
        <v>-</v>
      </c>
      <c r="AF8" s="2607"/>
      <c r="AG8" s="2471"/>
      <c r="AH8" s="2609"/>
      <c r="AI8" s="2471"/>
      <c r="AJ8" s="262"/>
      <c r="AK8" s="262"/>
      <c r="AL8" s="265" t="str">
        <f>AM7&amp;"-"&amp;AO7</f>
        <v>-</v>
      </c>
      <c r="AM8" s="2607"/>
      <c r="AN8" s="2471"/>
      <c r="AO8" s="2607"/>
      <c r="AP8" s="2471"/>
      <c r="AQ8" s="1366"/>
      <c r="AR8" s="2675"/>
      <c r="AT8" s="437"/>
      <c r="AU8" s="437" t="str">
        <f t="shared" si="0"/>
        <v/>
      </c>
      <c r="AV8" s="437"/>
      <c r="AW8" s="437"/>
      <c r="AX8" s="1082">
        <v>0</v>
      </c>
    </row>
    <row r="9" spans="1:50" ht="21" hidden="1" customHeight="1">
      <c r="A9" s="1290"/>
      <c r="B9" s="1290"/>
      <c r="C9" s="1290"/>
      <c r="D9" s="1290"/>
      <c r="E9" s="2602"/>
      <c r="F9" s="2602"/>
      <c r="G9" s="2602"/>
      <c r="H9" s="2602"/>
      <c r="I9" s="2604"/>
      <c r="J9" s="2603"/>
      <c r="K9" s="1290"/>
      <c r="L9" s="1291"/>
      <c r="P9" s="2605"/>
      <c r="Q9" s="2605"/>
      <c r="R9" s="293"/>
      <c r="S9" s="1205"/>
      <c r="T9" s="224" t="s">
        <v>563</v>
      </c>
      <c r="U9" s="304"/>
      <c r="V9" s="304"/>
      <c r="W9" s="304"/>
      <c r="X9" s="304"/>
      <c r="Y9" s="304"/>
      <c r="Z9" s="304"/>
      <c r="AA9" s="304"/>
      <c r="AB9" s="304"/>
      <c r="AC9" s="304"/>
      <c r="AD9" s="304"/>
      <c r="AE9" s="304"/>
      <c r="AF9" s="304"/>
      <c r="AG9" s="304"/>
      <c r="AH9" s="304"/>
      <c r="AI9" s="304"/>
      <c r="AJ9" s="2108"/>
      <c r="AK9" s="2109"/>
      <c r="AL9" s="2110"/>
      <c r="AM9" s="2111"/>
      <c r="AN9" s="2112"/>
      <c r="AO9" s="2113"/>
      <c r="AP9" s="2114"/>
      <c r="AQ9" s="304"/>
      <c r="AR9" s="1185" t="s">
        <v>564</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2602"/>
      <c r="F10" s="2602"/>
      <c r="G10" s="2602"/>
      <c r="H10" s="2602"/>
      <c r="I10" s="2603"/>
      <c r="J10" s="1290"/>
      <c r="K10" s="1290"/>
      <c r="L10" s="1291"/>
      <c r="P10" s="2605"/>
      <c r="Q10" s="1349"/>
      <c r="R10" s="293"/>
      <c r="S10" s="1205"/>
      <c r="T10" s="302" t="s">
        <v>492</v>
      </c>
      <c r="U10" s="304"/>
      <c r="V10" s="304"/>
      <c r="W10" s="304"/>
      <c r="X10" s="304"/>
      <c r="Y10" s="304"/>
      <c r="Z10" s="304"/>
      <c r="AA10" s="304"/>
      <c r="AB10" s="303"/>
      <c r="AC10" s="304"/>
      <c r="AD10" s="304"/>
      <c r="AE10" s="304"/>
      <c r="AF10" s="304"/>
      <c r="AG10" s="304"/>
      <c r="AH10" s="304"/>
      <c r="AI10" s="303"/>
      <c r="AJ10" s="2115"/>
      <c r="AK10" s="2116"/>
      <c r="AL10" s="2117"/>
      <c r="AM10" s="2118"/>
      <c r="AN10" s="2119"/>
      <c r="AO10" s="2120"/>
      <c r="AP10" s="2121"/>
      <c r="AQ10" s="304"/>
      <c r="AR10" s="1367"/>
      <c r="AT10" s="437"/>
      <c r="AU10" s="437" t="str">
        <f t="shared" si="0"/>
        <v>Добавить группу потребителей</v>
      </c>
      <c r="AV10" s="437"/>
      <c r="AW10" s="437"/>
      <c r="AX10" s="1082">
        <v>0</v>
      </c>
    </row>
    <row r="11" spans="1:50" ht="14.25"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304"/>
      <c r="X11" s="304"/>
      <c r="Y11" s="304"/>
      <c r="Z11" s="304"/>
      <c r="AA11" s="304"/>
      <c r="AB11" s="303"/>
      <c r="AC11" s="304"/>
      <c r="AD11" s="304"/>
      <c r="AE11" s="304"/>
      <c r="AF11" s="304"/>
      <c r="AG11" s="304"/>
      <c r="AH11" s="304"/>
      <c r="AI11" s="303"/>
      <c r="AJ11" s="2122"/>
      <c r="AK11" s="2123"/>
      <c r="AL11" s="2124"/>
      <c r="AM11" s="2125"/>
      <c r="AN11" s="2126"/>
      <c r="AO11" s="2127"/>
      <c r="AP11" s="2128"/>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2602"/>
      <c r="F12" s="2601"/>
      <c r="G12" s="1241"/>
      <c r="H12" s="1241"/>
      <c r="I12" s="1241"/>
      <c r="J12" s="1241"/>
      <c r="K12" s="1241"/>
      <c r="L12" s="1353"/>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1562"/>
      <c r="AX14" s="1082">
        <v>0</v>
      </c>
    </row>
    <row r="15" spans="1:50" ht="14.25" hidden="1" customHeight="1">
      <c r="AC15" s="1287"/>
      <c r="AD15" s="1287"/>
      <c r="AE15" s="1288"/>
      <c r="AF15" s="2599"/>
      <c r="AG15" s="2598" t="s">
        <v>66</v>
      </c>
      <c r="AH15" s="2599"/>
      <c r="AI15" s="2598" t="s">
        <v>66</v>
      </c>
      <c r="AJ15" s="1562"/>
      <c r="AK15" s="1562"/>
      <c r="AL15" s="1562"/>
      <c r="AM15" s="1562"/>
      <c r="AN15" s="1562"/>
      <c r="AO15" s="1562"/>
      <c r="AP15" s="1562"/>
      <c r="AX15" s="1082">
        <v>0</v>
      </c>
    </row>
    <row r="16" spans="1:50" ht="14.25" hidden="1" customHeight="1">
      <c r="AC16" s="1287"/>
      <c r="AD16" s="1287"/>
      <c r="AE16" s="265" t="str">
        <f>AF15&amp;"-"&amp;AH15</f>
        <v>-</v>
      </c>
      <c r="AF16" s="2598"/>
      <c r="AG16" s="2598"/>
      <c r="AH16" s="2598"/>
      <c r="AI16" s="2598"/>
      <c r="AJ16" s="1562"/>
      <c r="AK16" s="1562"/>
      <c r="AL16" s="1562"/>
      <c r="AM16" s="1562"/>
      <c r="AN16" s="1562"/>
      <c r="AO16" s="1562"/>
      <c r="AP16" s="1562"/>
      <c r="AX16" s="1082">
        <v>0</v>
      </c>
    </row>
    <row r="17" spans="1:50" ht="14.25" hidden="1" customHeight="1">
      <c r="AI17" s="264"/>
      <c r="AJ17" s="1562"/>
      <c r="AK17" s="1562"/>
      <c r="AL17" s="1562"/>
      <c r="AM17" s="1562"/>
      <c r="AN17" s="1562"/>
      <c r="AO17" s="1562"/>
      <c r="AP17" s="1562"/>
      <c r="AX17" s="1082">
        <v>0</v>
      </c>
    </row>
    <row r="18" spans="1:50" s="1293" customFormat="1" ht="22.5" hidden="1" customHeight="1">
      <c r="L18" s="1348"/>
      <c r="M18" s="1289"/>
      <c r="N18" s="1289"/>
      <c r="O18" s="1294" t="s">
        <v>495</v>
      </c>
      <c r="P18" s="1289"/>
      <c r="Q18" s="1298"/>
      <c r="R18" s="1298"/>
      <c r="S18" s="666"/>
      <c r="Y18" s="1294"/>
      <c r="AA18" s="1294"/>
      <c r="AF18" s="1294"/>
      <c r="AH18" s="1294"/>
      <c r="AM18" s="1294"/>
      <c r="AO18" s="1294"/>
      <c r="AS18" s="448"/>
      <c r="AT18" s="448"/>
      <c r="AU18" s="448"/>
      <c r="AV18" s="448"/>
      <c r="AW18" s="448"/>
      <c r="AX18" s="1087">
        <v>0</v>
      </c>
    </row>
    <row r="19" spans="1:50" s="1293" customFormat="1" ht="14.25" hidden="1" customHeight="1">
      <c r="L19" s="1348"/>
      <c r="M19" s="1289"/>
      <c r="N19" s="1289"/>
      <c r="O19" s="1289"/>
      <c r="P19" s="1289"/>
      <c r="Q19" s="1298"/>
      <c r="R19" s="1298"/>
      <c r="S19" s="666"/>
      <c r="AS19" s="448"/>
      <c r="AT19" s="448"/>
      <c r="AU19" s="448"/>
      <c r="AV19" s="448"/>
      <c r="AW19" s="448"/>
      <c r="AX19" s="1087">
        <v>0</v>
      </c>
    </row>
    <row r="20" spans="1:50" s="1293" customFormat="1" ht="12" hidden="1" customHeight="1">
      <c r="L20" s="1348"/>
      <c r="M20" s="1289"/>
      <c r="N20" s="1289"/>
      <c r="O20" s="1291" t="s">
        <v>496</v>
      </c>
      <c r="P20" s="1289"/>
      <c r="Q20" s="1369"/>
      <c r="R20" s="1369"/>
      <c r="S20" s="666"/>
      <c r="T20" s="1087" t="s">
        <v>497</v>
      </c>
      <c r="Z20" s="123" t="s">
        <v>498</v>
      </c>
      <c r="AB20" s="123" t="s">
        <v>499</v>
      </c>
      <c r="AC20" s="1087" t="s">
        <v>497</v>
      </c>
      <c r="AG20" s="123" t="s">
        <v>500</v>
      </c>
      <c r="AI20" s="123" t="s">
        <v>499</v>
      </c>
      <c r="AN20" s="1297" t="s">
        <v>498</v>
      </c>
      <c r="AP20" s="1297" t="s">
        <v>499</v>
      </c>
      <c r="AX20" s="1087">
        <v>0</v>
      </c>
    </row>
    <row r="21" spans="1:50" ht="14.25" hidden="1" customHeight="1">
      <c r="O21" s="1291"/>
      <c r="AJ21" s="1562"/>
      <c r="AK21" s="1562"/>
      <c r="AL21" s="1562"/>
      <c r="AM21" s="1562"/>
      <c r="AN21" s="1562"/>
      <c r="AO21" s="1562"/>
      <c r="AP21" s="1562"/>
      <c r="AX21" s="1082">
        <v>0</v>
      </c>
    </row>
    <row r="22" spans="1:50" ht="14.25" hidden="1" customHeight="1">
      <c r="O22" s="1291"/>
      <c r="AJ22" s="1562"/>
      <c r="AK22" s="1562"/>
      <c r="AL22" s="1562"/>
      <c r="AM22" s="1562"/>
      <c r="AN22" s="1562"/>
      <c r="AO22" s="1562"/>
      <c r="AP22" s="156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X23" s="1082">
        <v>14</v>
      </c>
    </row>
    <row r="24" spans="1:50" ht="14.65" customHeight="1">
      <c r="Q24" s="313"/>
      <c r="R24" s="313"/>
      <c r="S24" s="25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82"/>
      <c r="U24" s="2582"/>
      <c r="V24" s="2582"/>
      <c r="W24" s="2582"/>
      <c r="X24" s="2582"/>
      <c r="Y24" s="2582"/>
      <c r="Z24" s="2582"/>
      <c r="AA24" s="2582"/>
      <c r="AB24" s="2582"/>
      <c r="AC24" s="2582"/>
      <c r="AD24" s="2582"/>
      <c r="AE24" s="2582"/>
      <c r="AF24" s="2582"/>
      <c r="AG24" s="2582"/>
      <c r="AH24" s="2582"/>
      <c r="AI24" s="1170"/>
      <c r="AJ24" s="2004"/>
      <c r="AK24" s="2004"/>
      <c r="AL24" s="2004"/>
      <c r="AM24" s="2004"/>
      <c r="AN24" s="2004"/>
      <c r="AO24" s="2004"/>
      <c r="AP24" s="2004"/>
      <c r="AX24" s="1082">
        <v>14</v>
      </c>
    </row>
    <row r="25" spans="1:50"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J25" s="2005"/>
      <c r="AK25" s="2005"/>
      <c r="AL25" s="2005"/>
      <c r="AM25" s="2005"/>
      <c r="AN25" s="2005"/>
      <c r="AO25" s="2005"/>
      <c r="AP25" s="2005"/>
      <c r="AX25" s="1082">
        <v>14</v>
      </c>
    </row>
    <row r="26" spans="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446"/>
      <c r="AX26" s="1082">
        <v>0</v>
      </c>
    </row>
    <row r="27" spans="1:50"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63"/>
      <c r="AC27" s="2594" t="str">
        <f>IF(TITLE_NAME_OR_PR_CHANGE="",IF(TITLE_NAME_OR_PR="","",TITLE_NAME_OR_PR),TITLE_NAME_OR_PR_CHANGE)</f>
        <v>Региональная служба по тарифам Ростовской области</v>
      </c>
      <c r="AD27" s="2594"/>
      <c r="AE27" s="2594"/>
      <c r="AF27" s="2594"/>
      <c r="AG27" s="2594"/>
      <c r="AH27" s="2594"/>
      <c r="AI27" s="263"/>
      <c r="AJ27" s="2594" t="str">
        <f>IF(TITLE_NAME_OR_PR_CHANGE="",IF(TITLE_NAME_OR_PR="","",TITLE_NAME_OR_PR),TITLE_NAME_OR_PR_CHANGE)</f>
        <v>Региональная служба по тарифам Ростовской области</v>
      </c>
      <c r="AK27" s="2594"/>
      <c r="AL27" s="2594"/>
      <c r="AM27" s="2594"/>
      <c r="AN27" s="2594"/>
      <c r="AO27" s="2594"/>
      <c r="AP27" s="1562"/>
      <c r="AQ27" s="263"/>
      <c r="AR27" s="217"/>
      <c r="AS27" s="305"/>
      <c r="AT27" s="305"/>
      <c r="AU27" s="305"/>
      <c r="AV27" s="305"/>
      <c r="AW27" s="305"/>
      <c r="AX27" s="355">
        <v>0</v>
      </c>
    </row>
    <row r="28" spans="1:50"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63"/>
      <c r="AC28" s="2593">
        <f>IF(TITLE_DATE_PR_CHANGE="",IF(TITLE_DATE_PR="","",TITLE_DATE_PR),TITLE_DATE_PR_CHANGE)</f>
        <v>45596.468541666669</v>
      </c>
      <c r="AD28" s="2593"/>
      <c r="AE28" s="2593"/>
      <c r="AF28" s="2593"/>
      <c r="AG28" s="2593"/>
      <c r="AH28" s="2593"/>
      <c r="AI28" s="263"/>
      <c r="AJ28" s="2593">
        <f>IF(TITLE_DATE_PR_CHANGE="",IF(TITLE_DATE_PR="","",TITLE_DATE_PR),TITLE_DATE_PR_CHANGE)</f>
        <v>45596.468541666669</v>
      </c>
      <c r="AK28" s="2593"/>
      <c r="AL28" s="2593"/>
      <c r="AM28" s="2593"/>
      <c r="AN28" s="2593"/>
      <c r="AO28" s="2593"/>
      <c r="AP28" s="1562"/>
      <c r="AQ28" s="263"/>
      <c r="AR28" s="217"/>
      <c r="AS28" s="305"/>
      <c r="AT28" s="305"/>
      <c r="AU28" s="305"/>
      <c r="AV28" s="305"/>
      <c r="AW28" s="305"/>
      <c r="AX28" s="355">
        <v>0</v>
      </c>
    </row>
    <row r="29" spans="1:50"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63"/>
      <c r="AC29" s="2594" t="str">
        <f>IF(TITLE_NUMBER_PR_CHANGE="",IF(TITLE_NUMBER_PR="","",TITLE_NUMBER_PR),TITLE_NUMBER_PR_CHANGE)</f>
        <v>440,503</v>
      </c>
      <c r="AD29" s="2594"/>
      <c r="AE29" s="2594"/>
      <c r="AF29" s="2594"/>
      <c r="AG29" s="2594"/>
      <c r="AH29" s="2594"/>
      <c r="AI29" s="263"/>
      <c r="AJ29" s="2594" t="str">
        <f>IF(TITLE_NUMBER_PR_CHANGE="",IF(TITLE_NUMBER_PR="","",TITLE_NUMBER_PR),TITLE_NUMBER_PR_CHANGE)</f>
        <v>440,503</v>
      </c>
      <c r="AK29" s="2594"/>
      <c r="AL29" s="2594"/>
      <c r="AM29" s="2594"/>
      <c r="AN29" s="2594"/>
      <c r="AO29" s="2594"/>
      <c r="AP29" s="1562"/>
      <c r="AQ29" s="263"/>
      <c r="AR29" s="217"/>
      <c r="AS29" s="305"/>
      <c r="AT29" s="305"/>
      <c r="AU29" s="305"/>
      <c r="AV29" s="305"/>
      <c r="AW29" s="305"/>
      <c r="AX29" s="355">
        <v>0</v>
      </c>
    </row>
    <row r="30" spans="1:50"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63"/>
      <c r="AC30" s="2594" t="str">
        <f>IF(TITLE_IST_PUB_CHANGE="",IF(TITLE_IST_PUB="","",TITLE_IST_PUB),TITLE_IST_PUB_CHANGE)</f>
        <v>Региональная служба по тарифам Ростовской области</v>
      </c>
      <c r="AD30" s="2594"/>
      <c r="AE30" s="2594"/>
      <c r="AF30" s="2594"/>
      <c r="AG30" s="2594"/>
      <c r="AH30" s="2594"/>
      <c r="AI30" s="263"/>
      <c r="AJ30" s="2594" t="str">
        <f>IF(TITLE_IST_PUB_CHANGE="",IF(TITLE_IST_PUB="","",TITLE_IST_PUB),TITLE_IST_PUB_CHANGE)</f>
        <v>Региональная служба по тарифам Ростовской области</v>
      </c>
      <c r="AK30" s="2594"/>
      <c r="AL30" s="2594"/>
      <c r="AM30" s="2594"/>
      <c r="AN30" s="2594"/>
      <c r="AO30" s="2594"/>
      <c r="AP30" s="1562"/>
      <c r="AQ30" s="263"/>
      <c r="AR30" s="217"/>
      <c r="AS30" s="305"/>
      <c r="AT30" s="305"/>
      <c r="AU30" s="305"/>
      <c r="AV30" s="305"/>
      <c r="AW30" s="305"/>
      <c r="AX30" s="355">
        <v>0</v>
      </c>
    </row>
    <row r="31" spans="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446"/>
      <c r="AX31" s="1082">
        <v>0</v>
      </c>
    </row>
    <row r="32" spans="1:50"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63"/>
      <c r="AC32" s="2593">
        <f>IF(TITLE_DATE_PR_CHANGE="",IF(TITLE_DATE_PR="","",TITLE_DATE_PR),TITLE_DATE_PR_CHANGE)</f>
        <v>45596.468541666669</v>
      </c>
      <c r="AD32" s="2593"/>
      <c r="AE32" s="2593"/>
      <c r="AF32" s="2593"/>
      <c r="AG32" s="2593"/>
      <c r="AH32" s="2593"/>
      <c r="AI32" s="263"/>
      <c r="AJ32" s="2593">
        <f>IF(TITLE_DATE_PR_CHANGE="",IF(TITLE_DATE_PR="","",TITLE_DATE_PR),TITLE_DATE_PR_CHANGE)</f>
        <v>45596.468541666669</v>
      </c>
      <c r="AK32" s="2593"/>
      <c r="AL32" s="2593"/>
      <c r="AM32" s="2593"/>
      <c r="AN32" s="2593"/>
      <c r="AO32" s="2593"/>
      <c r="AP32" s="1562"/>
      <c r="AQ32" s="263"/>
      <c r="AR32" s="217"/>
      <c r="AS32" s="305"/>
      <c r="AT32" s="305"/>
      <c r="AU32" s="305"/>
      <c r="AV32" s="305"/>
      <c r="AW32" s="305"/>
      <c r="AX32" s="355">
        <v>0</v>
      </c>
    </row>
    <row r="33" spans="1:50"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63"/>
      <c r="AC33" s="2594" t="str">
        <f>IF(TITLE_NUMBER_PR_CHANGE="",IF(TITLE_NUMBER_PR="","",TITLE_NUMBER_PR),TITLE_NUMBER_PR_CHANGE)</f>
        <v>440,503</v>
      </c>
      <c r="AD33" s="2594"/>
      <c r="AE33" s="2594"/>
      <c r="AF33" s="2594"/>
      <c r="AG33" s="2594"/>
      <c r="AH33" s="2594"/>
      <c r="AI33" s="263"/>
      <c r="AJ33" s="2594" t="str">
        <f>IF(TITLE_NUMBER_PR_CHANGE="",IF(TITLE_NUMBER_PR="","",TITLE_NUMBER_PR),TITLE_NUMBER_PR_CHANGE)</f>
        <v>440,503</v>
      </c>
      <c r="AK33" s="2594"/>
      <c r="AL33" s="2594"/>
      <c r="AM33" s="2594"/>
      <c r="AN33" s="2594"/>
      <c r="AO33" s="2594"/>
      <c r="AP33" s="1562"/>
      <c r="AQ33" s="263"/>
      <c r="AR33" s="217"/>
      <c r="AS33" s="305"/>
      <c r="AT33" s="305"/>
      <c r="AU33" s="305"/>
      <c r="AV33" s="305"/>
      <c r="AW33" s="305"/>
      <c r="AX33" s="355">
        <v>0</v>
      </c>
    </row>
    <row r="34" spans="1:50"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505</v>
      </c>
      <c r="AC34" s="263"/>
      <c r="AD34" s="263"/>
      <c r="AE34" s="263"/>
      <c r="AF34" s="263"/>
      <c r="AG34" s="263"/>
      <c r="AH34" s="263"/>
      <c r="AI34" s="215" t="s">
        <v>505</v>
      </c>
      <c r="AJ34" s="1562"/>
      <c r="AK34" s="1562"/>
      <c r="AL34" s="1562"/>
      <c r="AM34" s="1562"/>
      <c r="AN34" s="1562"/>
      <c r="AO34" s="1562"/>
      <c r="AP34" s="1569" t="s">
        <v>505</v>
      </c>
      <c r="AS34" s="305"/>
      <c r="AT34" s="305"/>
      <c r="AU34" s="305"/>
      <c r="AV34" s="305"/>
      <c r="AW34" s="305"/>
      <c r="AX34" s="355">
        <v>1</v>
      </c>
    </row>
    <row r="35" spans="1:50" ht="14.65" customHeight="1">
      <c r="Q35" s="313"/>
      <c r="R35" s="313"/>
      <c r="S35" s="1202"/>
      <c r="T35" s="300"/>
      <c r="U35" s="1171"/>
      <c r="V35" s="2613"/>
      <c r="W35" s="2613"/>
      <c r="X35" s="2613"/>
      <c r="Y35" s="2613"/>
      <c r="Z35" s="2613"/>
      <c r="AA35" s="2613"/>
      <c r="AB35" s="2613"/>
      <c r="AC35" s="2613"/>
      <c r="AD35" s="2613"/>
      <c r="AE35" s="2613"/>
      <c r="AF35" s="2613"/>
      <c r="AG35" s="2613"/>
      <c r="AH35" s="2613"/>
      <c r="AI35" s="2613"/>
      <c r="AJ35" s="2613" t="s">
        <v>103</v>
      </c>
      <c r="AK35" s="2613"/>
      <c r="AL35" s="2613"/>
      <c r="AM35" s="2613"/>
      <c r="AN35" s="2613"/>
      <c r="AO35" s="2613"/>
      <c r="AP35" s="2613"/>
      <c r="AX35" s="1082">
        <v>14</v>
      </c>
    </row>
    <row r="36" spans="1:50"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t="s">
        <v>380</v>
      </c>
      <c r="AK36" s="2461"/>
      <c r="AL36" s="2461"/>
      <c r="AM36" s="2461"/>
      <c r="AN36" s="2461"/>
      <c r="AO36" s="2461"/>
      <c r="AP36" s="2461"/>
      <c r="AQ36" s="2461"/>
      <c r="AR36" s="2461"/>
      <c r="AX36" s="1082"/>
    </row>
    <row r="37" spans="1:50" ht="14.65" customHeight="1">
      <c r="Q37" s="313"/>
      <c r="R37" s="313"/>
      <c r="S37" s="2614" t="s">
        <v>88</v>
      </c>
      <c r="T37" s="2563" t="s">
        <v>506</v>
      </c>
      <c r="U37" s="238"/>
      <c r="V37" s="2615" t="s">
        <v>507</v>
      </c>
      <c r="W37" s="2616"/>
      <c r="X37" s="2616"/>
      <c r="Y37" s="2616"/>
      <c r="Z37" s="2616"/>
      <c r="AA37" s="2617"/>
      <c r="AB37" s="2618" t="s">
        <v>508</v>
      </c>
      <c r="AC37" s="2615" t="s">
        <v>507</v>
      </c>
      <c r="AD37" s="2616"/>
      <c r="AE37" s="2616"/>
      <c r="AF37" s="2616"/>
      <c r="AG37" s="2616"/>
      <c r="AH37" s="2617"/>
      <c r="AI37" s="2618" t="s">
        <v>509</v>
      </c>
      <c r="AJ37" s="2615" t="s">
        <v>507</v>
      </c>
      <c r="AK37" s="2616"/>
      <c r="AL37" s="2616"/>
      <c r="AM37" s="2616"/>
      <c r="AN37" s="2616"/>
      <c r="AO37" s="2617"/>
      <c r="AP37" s="2618" t="s">
        <v>508</v>
      </c>
      <c r="AQ37" s="2621" t="s">
        <v>510</v>
      </c>
      <c r="AR37" s="2461"/>
      <c r="AX37" s="1082">
        <v>14</v>
      </c>
    </row>
    <row r="38" spans="1:50" ht="35.65" customHeight="1">
      <c r="Q38" s="313"/>
      <c r="R38" s="313"/>
      <c r="S38" s="2614"/>
      <c r="T38" s="2563"/>
      <c r="U38" s="961"/>
      <c r="V38" s="1279" t="s">
        <v>566</v>
      </c>
      <c r="W38" s="2442" t="s">
        <v>513</v>
      </c>
      <c r="X38" s="2441"/>
      <c r="Y38" s="2442" t="s">
        <v>514</v>
      </c>
      <c r="Z38" s="2448"/>
      <c r="AA38" s="2441"/>
      <c r="AB38" s="2619"/>
      <c r="AC38" s="1279" t="s">
        <v>566</v>
      </c>
      <c r="AD38" s="2442" t="s">
        <v>513</v>
      </c>
      <c r="AE38" s="2441"/>
      <c r="AF38" s="2442" t="s">
        <v>514</v>
      </c>
      <c r="AG38" s="2448"/>
      <c r="AH38" s="2441"/>
      <c r="AI38" s="2619"/>
      <c r="AJ38" s="2006" t="s">
        <v>566</v>
      </c>
      <c r="AK38" s="2442" t="s">
        <v>513</v>
      </c>
      <c r="AL38" s="2441"/>
      <c r="AM38" s="2442" t="s">
        <v>514</v>
      </c>
      <c r="AN38" s="2448"/>
      <c r="AO38" s="2441"/>
      <c r="AP38" s="2619"/>
      <c r="AQ38" s="2622"/>
      <c r="AR38" s="2461"/>
      <c r="AX38" s="1082">
        <v>34</v>
      </c>
    </row>
    <row r="39" spans="1:50" ht="35.65" customHeight="1">
      <c r="A39" s="1297"/>
      <c r="B39" s="1297" t="s">
        <v>201</v>
      </c>
      <c r="C39" s="1297" t="s">
        <v>202</v>
      </c>
      <c r="D39" s="1297" t="s">
        <v>203</v>
      </c>
      <c r="E39" s="1291" t="s">
        <v>515</v>
      </c>
      <c r="F39" s="1291" t="s">
        <v>516</v>
      </c>
      <c r="G39" s="1291" t="s">
        <v>517</v>
      </c>
      <c r="H39" s="1291"/>
      <c r="I39" s="1291" t="s">
        <v>567</v>
      </c>
      <c r="J39" s="1291" t="s">
        <v>520</v>
      </c>
      <c r="K39" s="1291" t="s">
        <v>568</v>
      </c>
      <c r="L39" s="1291" t="s">
        <v>496</v>
      </c>
      <c r="Q39" s="313"/>
      <c r="R39" s="313"/>
      <c r="S39" s="2614"/>
      <c r="T39" s="2563"/>
      <c r="U39" s="239"/>
      <c r="V39" s="1279" t="s">
        <v>569</v>
      </c>
      <c r="W39" s="1149" t="s">
        <v>570</v>
      </c>
      <c r="X39" s="1149" t="s">
        <v>571</v>
      </c>
      <c r="Y39" s="1284" t="s">
        <v>524</v>
      </c>
      <c r="Z39" s="2568" t="s">
        <v>525</v>
      </c>
      <c r="AA39" s="2581"/>
      <c r="AB39" s="2620"/>
      <c r="AC39" s="1279" t="s">
        <v>569</v>
      </c>
      <c r="AD39" s="1149" t="s">
        <v>570</v>
      </c>
      <c r="AE39" s="1149" t="s">
        <v>571</v>
      </c>
      <c r="AF39" s="1284" t="s">
        <v>524</v>
      </c>
      <c r="AG39" s="2568" t="s">
        <v>525</v>
      </c>
      <c r="AH39" s="2581"/>
      <c r="AI39" s="2620"/>
      <c r="AJ39" s="2006" t="s">
        <v>569</v>
      </c>
      <c r="AK39" s="2021" t="s">
        <v>570</v>
      </c>
      <c r="AL39" s="2021" t="s">
        <v>571</v>
      </c>
      <c r="AM39" s="2021" t="s">
        <v>524</v>
      </c>
      <c r="AN39" s="2568" t="s">
        <v>525</v>
      </c>
      <c r="AO39" s="2581"/>
      <c r="AP39" s="2620"/>
      <c r="AQ39" s="2623"/>
      <c r="AR39" s="2461"/>
      <c r="AX39" s="1082">
        <v>34</v>
      </c>
    </row>
    <row r="40" spans="1:50"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177</v>
      </c>
      <c r="T40" s="1182" t="s">
        <v>102</v>
      </c>
      <c r="U40" s="1172" t="str">
        <f ca="1">OFFSET(U40,0,-1)</f>
        <v>2</v>
      </c>
      <c r="V40" s="1280">
        <f ca="1">OFFSET(V40,0,-1)+1</f>
        <v>3</v>
      </c>
      <c r="W40" s="1280">
        <f ca="1">OFFSET(W40,0,-1)+1</f>
        <v>4</v>
      </c>
      <c r="X40" s="1280">
        <f ca="1">OFFSET(X40,0,-1)+1</f>
        <v>5</v>
      </c>
      <c r="Y40" s="1280">
        <f ca="1">OFFSET(Y40,0,-1)+1</f>
        <v>6</v>
      </c>
      <c r="Z40" s="2612">
        <f ca="1">OFFSET(Z40,0,-1)+1</f>
        <v>7</v>
      </c>
      <c r="AA40" s="2612"/>
      <c r="AB40" s="1280">
        <f ca="1">OFFSET(AB40,0,-2)+1</f>
        <v>8</v>
      </c>
      <c r="AC40" s="1280">
        <f ca="1">OFFSET(AC40,0,-1)+1</f>
        <v>9</v>
      </c>
      <c r="AD40" s="1280">
        <f ca="1">OFFSET(AD40,0,-1)+1</f>
        <v>10</v>
      </c>
      <c r="AE40" s="1280">
        <f ca="1">OFFSET(AE40,0,-1)+1</f>
        <v>11</v>
      </c>
      <c r="AF40" s="1280">
        <f ca="1">OFFSET(AF40,0,-1)+1</f>
        <v>12</v>
      </c>
      <c r="AG40" s="2612">
        <f ca="1">OFFSET(AG40,0,-1)+1</f>
        <v>13</v>
      </c>
      <c r="AH40" s="2612"/>
      <c r="AI40" s="1280">
        <f ca="1">OFFSET(AI40,0,-2)+1</f>
        <v>14</v>
      </c>
      <c r="AJ40" s="2007">
        <f ca="1">OFFSET(AJ40,0,-1)+1</f>
        <v>15</v>
      </c>
      <c r="AK40" s="2007">
        <f ca="1">OFFSET(AK40,0,-1)+1</f>
        <v>16</v>
      </c>
      <c r="AL40" s="2007">
        <f ca="1">OFFSET(AL40,0,-1)+1</f>
        <v>17</v>
      </c>
      <c r="AM40" s="2007">
        <f ca="1">OFFSET(AM40,0,-1)+1</f>
        <v>18</v>
      </c>
      <c r="AN40" s="2612">
        <f ca="1">OFFSET(AN40,0,-1)+1</f>
        <v>19</v>
      </c>
      <c r="AO40" s="2612"/>
      <c r="AP40" s="2007">
        <f ca="1">OFFSET(AP40,0,-2)+1</f>
        <v>20</v>
      </c>
      <c r="AQ40" s="1172">
        <f ca="1">OFFSET(AQ40,0,-1)</f>
        <v>20</v>
      </c>
      <c r="AR40" s="1280">
        <f ca="1">OFFSET(AR40,0,-1)+1</f>
        <v>21</v>
      </c>
      <c r="AS40" s="448"/>
      <c r="AT40" s="448"/>
      <c r="AU40" s="448"/>
      <c r="AV40" s="448"/>
      <c r="AW40" s="448"/>
      <c r="AX40" s="433">
        <v>0</v>
      </c>
    </row>
    <row r="41" spans="1:50" ht="24" customHeight="1">
      <c r="A41" s="1290" t="s">
        <v>292</v>
      </c>
      <c r="B41" s="1290"/>
      <c r="C41" s="1290"/>
      <c r="D41" s="1290"/>
      <c r="E41" s="2601">
        <v>1</v>
      </c>
      <c r="F41" s="1290"/>
      <c r="G41" s="1290"/>
      <c r="H41" s="1290"/>
      <c r="I41" s="1290"/>
      <c r="J41" s="1290"/>
      <c r="K41" s="1290"/>
      <c r="L41" s="1291"/>
      <c r="M41" s="1292"/>
      <c r="N41" s="1292"/>
      <c r="O41" s="1292"/>
      <c r="P41" s="298"/>
      <c r="Q41" s="297"/>
      <c r="R41" s="292"/>
      <c r="S41" s="1285">
        <f>INDEX(PT_DIFFERENTIATION_NUM_NTAR,MATCH(A41,PT_DIFFERENTIATION_NTAR_ID,0))</f>
        <v>1</v>
      </c>
      <c r="T41" s="235" t="s">
        <v>189</v>
      </c>
      <c r="U41" s="237"/>
      <c r="V41" s="2595"/>
      <c r="W41" s="2596"/>
      <c r="X41" s="2596"/>
      <c r="Y41" s="2596"/>
      <c r="Z41" s="2596"/>
      <c r="AA41" s="2596"/>
      <c r="AB41" s="2597"/>
      <c r="AC41" s="2595" t="str">
        <f>INDEX(PT_DIFFERENTIATION_NTAR,MATCH(A41,PT_DIFFERENTIATION_NTAR_ID,0))</f>
        <v>Тариф на холодное водоснабжение (питьевая)</v>
      </c>
      <c r="AD41" s="2596"/>
      <c r="AE41" s="2596"/>
      <c r="AF41" s="2596"/>
      <c r="AG41" s="2596"/>
      <c r="AH41" s="2596"/>
      <c r="AI41" s="2596"/>
      <c r="AJ41" s="2595"/>
      <c r="AK41" s="2596"/>
      <c r="AL41" s="2596"/>
      <c r="AM41" s="2596"/>
      <c r="AN41" s="2596"/>
      <c r="AO41" s="2596"/>
      <c r="AP41" s="2597"/>
      <c r="AQ41" s="2597"/>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63" si="1">IF(T41="","",T41)</f>
        <v>Наименование тарифа</v>
      </c>
      <c r="AV41" s="437"/>
      <c r="AW41" s="437"/>
      <c r="AX41" s="1082">
        <v>23</v>
      </c>
    </row>
    <row r="42" spans="1:50" ht="24" customHeight="1">
      <c r="A42" s="1290" t="s">
        <v>292</v>
      </c>
      <c r="B42" s="1290" t="s">
        <v>293</v>
      </c>
      <c r="C42" s="1290"/>
      <c r="D42" s="1290"/>
      <c r="E42" s="2602"/>
      <c r="F42" s="2601">
        <v>1</v>
      </c>
      <c r="G42" s="1290"/>
      <c r="H42" s="1290"/>
      <c r="I42" s="1290"/>
      <c r="J42" s="1290"/>
      <c r="K42" s="1290"/>
      <c r="L42" s="1291"/>
      <c r="M42" s="1292"/>
      <c r="N42" s="1292"/>
      <c r="O42" s="1292"/>
      <c r="P42" s="1283"/>
      <c r="Q42" s="289"/>
      <c r="R42" s="290"/>
      <c r="S42" s="1285" t="str">
        <f>INDEX(PT_DIFFERENTIATION_NUM_TER,MATCH(B42,PT_DIFFERENTIATION_TER_ID,0))</f>
        <v>1.1</v>
      </c>
      <c r="T42" s="245" t="s">
        <v>477</v>
      </c>
      <c r="U42" s="237"/>
      <c r="V42" s="2595"/>
      <c r="W42" s="2596"/>
      <c r="X42" s="2596"/>
      <c r="Y42" s="2596"/>
      <c r="Z42" s="2596"/>
      <c r="AA42" s="2596"/>
      <c r="AB42" s="2597"/>
      <c r="AC42" s="2595" t="str">
        <f>INDEX(PT_DIFFERENTIATION_TER,MATCH(B42,PT_DIFFERENTIATION_TER_ID,0))</f>
        <v>Территория 1</v>
      </c>
      <c r="AD42" s="2596"/>
      <c r="AE42" s="2596"/>
      <c r="AF42" s="2596"/>
      <c r="AG42" s="2596"/>
      <c r="AH42" s="2596"/>
      <c r="AI42" s="2596"/>
      <c r="AJ42" s="2595"/>
      <c r="AK42" s="2596"/>
      <c r="AL42" s="2596"/>
      <c r="AM42" s="2596"/>
      <c r="AN42" s="2596"/>
      <c r="AO42" s="2596"/>
      <c r="AP42" s="2597"/>
      <c r="AQ42" s="2597"/>
      <c r="AR42" s="1185" t="s">
        <v>478</v>
      </c>
      <c r="AT42" s="437"/>
      <c r="AU42" s="437" t="str">
        <f t="shared" si="1"/>
        <v>Территория действия тарифа</v>
      </c>
      <c r="AV42" s="437"/>
      <c r="AW42" s="437"/>
      <c r="AX42" s="1082">
        <v>23</v>
      </c>
    </row>
    <row r="43" spans="1:50" ht="24" customHeight="1">
      <c r="A43" s="1290" t="s">
        <v>292</v>
      </c>
      <c r="B43" s="1290" t="s">
        <v>293</v>
      </c>
      <c r="C43" s="1290" t="s">
        <v>294</v>
      </c>
      <c r="D43" s="1290"/>
      <c r="E43" s="2602"/>
      <c r="F43" s="2602"/>
      <c r="G43" s="2601">
        <v>1</v>
      </c>
      <c r="H43" s="1290"/>
      <c r="I43" s="1290"/>
      <c r="J43" s="1290"/>
      <c r="K43" s="1290"/>
      <c r="L43" s="1291"/>
      <c r="M43" s="1292"/>
      <c r="N43" s="1292"/>
      <c r="O43" s="1292"/>
      <c r="P43" s="291"/>
      <c r="Q43" s="289"/>
      <c r="R43" s="290"/>
      <c r="S43" s="1285" t="str">
        <f>INDEX(PT_DIFFERENTIATION_NUM_CS,MATCH(C43,PT_DIFFERENTIATION_CS_ID,0))</f>
        <v>1.1.1</v>
      </c>
      <c r="T43" s="246" t="s">
        <v>558</v>
      </c>
      <c r="U43" s="237"/>
      <c r="V43" s="2595"/>
      <c r="W43" s="2596"/>
      <c r="X43" s="2596"/>
      <c r="Y43" s="2596"/>
      <c r="Z43" s="2596"/>
      <c r="AA43" s="2596"/>
      <c r="AB43" s="2597"/>
      <c r="AC43" s="2595" t="str">
        <f>INDEX(PT_DIFFERENTIATION_CS,MATCH(C43,PT_DIFFERENTIATION_CS_ID,0))</f>
        <v>без дифференциации</v>
      </c>
      <c r="AD43" s="2596"/>
      <c r="AE43" s="2596"/>
      <c r="AF43" s="2596"/>
      <c r="AG43" s="2596"/>
      <c r="AH43" s="2596"/>
      <c r="AI43" s="2596"/>
      <c r="AJ43" s="2595"/>
      <c r="AK43" s="2596"/>
      <c r="AL43" s="2596"/>
      <c r="AM43" s="2596"/>
      <c r="AN43" s="2596"/>
      <c r="AO43" s="2596"/>
      <c r="AP43" s="2597"/>
      <c r="AQ43" s="2597"/>
      <c r="AR43" s="1185" t="s">
        <v>559</v>
      </c>
      <c r="AT43" s="437"/>
      <c r="AU43" s="437" t="str">
        <f t="shared" si="1"/>
        <v>Наименование централизованной системы холодного водоснабжения</v>
      </c>
      <c r="AV43" s="437"/>
      <c r="AW43" s="437"/>
      <c r="AX43" s="1082">
        <v>23</v>
      </c>
    </row>
    <row r="44" spans="1:50" ht="24" customHeight="1">
      <c r="A44" s="1290" t="s">
        <v>292</v>
      </c>
      <c r="B44" s="1290" t="s">
        <v>293</v>
      </c>
      <c r="C44" s="1290" t="s">
        <v>294</v>
      </c>
      <c r="D44" s="1290" t="s">
        <v>572</v>
      </c>
      <c r="E44" s="2602"/>
      <c r="F44" s="2602"/>
      <c r="G44" s="2602"/>
      <c r="H44" s="2602"/>
      <c r="I44" s="2603" t="str">
        <f>S43&amp;".1"</f>
        <v>1.1.1.1</v>
      </c>
      <c r="J44" s="1290"/>
      <c r="K44" s="1290"/>
      <c r="L44" s="1291"/>
      <c r="P44" s="2605">
        <v>1</v>
      </c>
      <c r="Q44" s="1281"/>
      <c r="R44" s="293"/>
      <c r="S44" s="1285" t="str">
        <f>$I44</f>
        <v>1.1.1.1</v>
      </c>
      <c r="T44" s="222" t="s">
        <v>560</v>
      </c>
      <c r="U44" s="237"/>
      <c r="V44" s="2669"/>
      <c r="W44" s="2670"/>
      <c r="X44" s="2670"/>
      <c r="Y44" s="2670"/>
      <c r="Z44" s="2670"/>
      <c r="AA44" s="2670"/>
      <c r="AB44" s="2671"/>
      <c r="AC44" s="2672" t="s">
        <v>573</v>
      </c>
      <c r="AD44" s="2673"/>
      <c r="AE44" s="2673"/>
      <c r="AF44" s="2673"/>
      <c r="AG44" s="2673"/>
      <c r="AH44" s="2673"/>
      <c r="AI44" s="2673"/>
      <c r="AJ44" s="2669"/>
      <c r="AK44" s="2670"/>
      <c r="AL44" s="2670"/>
      <c r="AM44" s="2670"/>
      <c r="AN44" s="2670"/>
      <c r="AO44" s="2670"/>
      <c r="AP44" s="2671"/>
      <c r="AQ44" s="2674"/>
      <c r="AR44" s="1185" t="s">
        <v>561</v>
      </c>
      <c r="AT44" s="437"/>
      <c r="AU44" s="437" t="str">
        <f t="shared" si="1"/>
        <v>Наименование признака дифференциации</v>
      </c>
      <c r="AV44" s="437"/>
      <c r="AW44" s="437"/>
      <c r="AX44" s="1082">
        <v>23</v>
      </c>
    </row>
    <row r="45" spans="1:50" ht="24" customHeight="1">
      <c r="A45" s="1290" t="s">
        <v>292</v>
      </c>
      <c r="B45" s="1290" t="s">
        <v>293</v>
      </c>
      <c r="C45" s="1290" t="s">
        <v>294</v>
      </c>
      <c r="D45" s="1290" t="s">
        <v>572</v>
      </c>
      <c r="E45" s="2602"/>
      <c r="F45" s="2602"/>
      <c r="G45" s="2602"/>
      <c r="H45" s="2602"/>
      <c r="I45" s="2604"/>
      <c r="J45" s="2603" t="str">
        <f>I44&amp;".1"</f>
        <v>1.1.1.1.1</v>
      </c>
      <c r="K45" s="1290"/>
      <c r="L45" s="1291" t="s">
        <v>486</v>
      </c>
      <c r="P45" s="2605"/>
      <c r="Q45" s="2605">
        <v>1</v>
      </c>
      <c r="R45" s="294"/>
      <c r="S45" s="1285" t="str">
        <f>$J45</f>
        <v>1.1.1.1.1</v>
      </c>
      <c r="T45" s="223" t="s">
        <v>487</v>
      </c>
      <c r="U45" s="237"/>
      <c r="V45" s="2589"/>
      <c r="W45" s="2590"/>
      <c r="X45" s="2590"/>
      <c r="Y45" s="2590"/>
      <c r="Z45" s="2590"/>
      <c r="AA45" s="2590"/>
      <c r="AB45" s="2591"/>
      <c r="AC45" s="2589" t="s">
        <v>573</v>
      </c>
      <c r="AD45" s="2590"/>
      <c r="AE45" s="2590"/>
      <c r="AF45" s="2590"/>
      <c r="AG45" s="2590"/>
      <c r="AH45" s="2590"/>
      <c r="AI45" s="2590"/>
      <c r="AJ45" s="2589"/>
      <c r="AK45" s="2590"/>
      <c r="AL45" s="2590"/>
      <c r="AM45" s="2590"/>
      <c r="AN45" s="2590"/>
      <c r="AO45" s="2590"/>
      <c r="AP45" s="2591"/>
      <c r="AQ45" s="2591"/>
      <c r="AR45" s="1234" t="s">
        <v>562</v>
      </c>
      <c r="AT45" s="437"/>
      <c r="AU45" s="437" t="str">
        <f t="shared" si="1"/>
        <v>Группа потребителей</v>
      </c>
      <c r="AV45" s="437"/>
      <c r="AW45" s="437"/>
      <c r="AX45" s="1082">
        <v>23</v>
      </c>
    </row>
    <row r="46" spans="1:50" ht="24" customHeight="1">
      <c r="A46" s="1290" t="s">
        <v>292</v>
      </c>
      <c r="B46" s="1290" t="s">
        <v>293</v>
      </c>
      <c r="C46" s="1290" t="s">
        <v>294</v>
      </c>
      <c r="D46" s="1290" t="s">
        <v>572</v>
      </c>
      <c r="E46" s="2602"/>
      <c r="F46" s="2602"/>
      <c r="G46" s="2602"/>
      <c r="H46" s="2602"/>
      <c r="I46" s="2604"/>
      <c r="J46" s="2604"/>
      <c r="K46" s="2603" t="str">
        <f>J45&amp;".1"</f>
        <v>1.1.1.1.1.1</v>
      </c>
      <c r="L46" s="1291"/>
      <c r="P46" s="2605"/>
      <c r="Q46" s="2605"/>
      <c r="R46" s="294">
        <v>1</v>
      </c>
      <c r="S46" s="1285" t="str">
        <f>$K46</f>
        <v>1.1.1.1.1.1</v>
      </c>
      <c r="T46" s="1364" t="s">
        <v>574</v>
      </c>
      <c r="U46" s="237"/>
      <c r="V46" s="688"/>
      <c r="W46" s="688"/>
      <c r="X46" s="1184"/>
      <c r="Y46" s="2606"/>
      <c r="Z46" s="2471" t="s">
        <v>66</v>
      </c>
      <c r="AA46" s="2608"/>
      <c r="AB46" s="2471" t="s">
        <v>66</v>
      </c>
      <c r="AC46" s="688">
        <v>63.96</v>
      </c>
      <c r="AD46" s="688"/>
      <c r="AE46" s="1184"/>
      <c r="AF46" s="2606">
        <v>45658.499131944445</v>
      </c>
      <c r="AG46" s="2471" t="s">
        <v>66</v>
      </c>
      <c r="AH46" s="2608">
        <v>45838.499212962961</v>
      </c>
      <c r="AI46" s="2471" t="s">
        <v>66</v>
      </c>
      <c r="AJ46" s="688">
        <v>70.48</v>
      </c>
      <c r="AK46" s="688"/>
      <c r="AL46" s="1184"/>
      <c r="AM46" s="2606">
        <v>45839.501469907409</v>
      </c>
      <c r="AN46" s="2471" t="s">
        <v>66</v>
      </c>
      <c r="AO46" s="2608">
        <v>46022.501585648148</v>
      </c>
      <c r="AP46" s="2471" t="s">
        <v>66</v>
      </c>
      <c r="AQ46" s="1365"/>
      <c r="AR4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Тариф (руб./куб.м без НДС)</v>
      </c>
      <c r="AV46" s="437"/>
      <c r="AW46" s="437"/>
      <c r="AX46" s="1082">
        <v>23</v>
      </c>
    </row>
    <row r="47" spans="1:50" ht="0" hidden="1" customHeight="1">
      <c r="A47" s="1290" t="s">
        <v>292</v>
      </c>
      <c r="B47" s="1290" t="s">
        <v>293</v>
      </c>
      <c r="C47" s="1290" t="s">
        <v>294</v>
      </c>
      <c r="D47" s="1290" t="s">
        <v>572</v>
      </c>
      <c r="E47" s="2602"/>
      <c r="F47" s="2602"/>
      <c r="G47" s="2602"/>
      <c r="H47" s="2602"/>
      <c r="I47" s="2604"/>
      <c r="J47" s="2604"/>
      <c r="K47" s="2603"/>
      <c r="L47" s="1291"/>
      <c r="P47" s="2605"/>
      <c r="Q47" s="2605"/>
      <c r="R47" s="294"/>
      <c r="S47" s="1286"/>
      <c r="T47" s="237"/>
      <c r="U47" s="237"/>
      <c r="V47" s="262"/>
      <c r="W47" s="262"/>
      <c r="X47" s="265" t="str">
        <f>Y46&amp;"-"&amp;AA46</f>
        <v>-</v>
      </c>
      <c r="Y47" s="2607"/>
      <c r="Z47" s="2471"/>
      <c r="AA47" s="2609"/>
      <c r="AB47" s="2471"/>
      <c r="AC47" s="262"/>
      <c r="AD47" s="262"/>
      <c r="AE47" s="265" t="str">
        <f>AF46&amp;"-"&amp;AH46</f>
        <v>45658,4991319444-45838,499212963</v>
      </c>
      <c r="AF47" s="2607"/>
      <c r="AG47" s="2471"/>
      <c r="AH47" s="2609"/>
      <c r="AI47" s="2471"/>
      <c r="AJ47" s="262"/>
      <c r="AK47" s="262"/>
      <c r="AL47" s="265" t="str">
        <f>AM46&amp;"-"&amp;AO46</f>
        <v>45839,5014699074-46022,5015856481</v>
      </c>
      <c r="AM47" s="2607"/>
      <c r="AN47" s="2471"/>
      <c r="AO47" s="2609"/>
      <c r="AP47" s="2471"/>
      <c r="AQ47" s="1366"/>
      <c r="AR47" s="2675"/>
      <c r="AT47" s="437"/>
      <c r="AU47" s="437" t="str">
        <f t="shared" si="1"/>
        <v/>
      </c>
      <c r="AV47" s="437"/>
      <c r="AW47" s="437"/>
      <c r="AX47" s="1082">
        <v>0</v>
      </c>
    </row>
    <row r="48" spans="1:50" ht="21" customHeight="1">
      <c r="A48" s="1290" t="s">
        <v>292</v>
      </c>
      <c r="B48" s="1290" t="s">
        <v>293</v>
      </c>
      <c r="C48" s="1290" t="s">
        <v>294</v>
      </c>
      <c r="D48" s="1290" t="s">
        <v>572</v>
      </c>
      <c r="E48" s="2602"/>
      <c r="F48" s="2602"/>
      <c r="G48" s="2602"/>
      <c r="H48" s="2602"/>
      <c r="I48" s="2604"/>
      <c r="J48" s="2603"/>
      <c r="K48" s="1290"/>
      <c r="L48" s="1291"/>
      <c r="P48" s="2605"/>
      <c r="Q48" s="2605"/>
      <c r="R48" s="293"/>
      <c r="S48" s="1205"/>
      <c r="T48" s="224" t="s">
        <v>563</v>
      </c>
      <c r="U48" s="304"/>
      <c r="V48" s="304"/>
      <c r="W48" s="304"/>
      <c r="X48" s="304"/>
      <c r="Y48" s="304"/>
      <c r="Z48" s="304"/>
      <c r="AA48" s="304"/>
      <c r="AB48" s="304"/>
      <c r="AC48" s="304"/>
      <c r="AD48" s="304"/>
      <c r="AE48" s="304"/>
      <c r="AF48" s="304"/>
      <c r="AG48" s="304"/>
      <c r="AH48" s="304"/>
      <c r="AI48" s="304"/>
      <c r="AJ48" s="2129"/>
      <c r="AK48" s="2130"/>
      <c r="AL48" s="2131"/>
      <c r="AM48" s="2132"/>
      <c r="AN48" s="2133"/>
      <c r="AO48" s="2134"/>
      <c r="AP48" s="2135"/>
      <c r="AQ48" s="304"/>
      <c r="AR48" s="1185" t="s">
        <v>564</v>
      </c>
      <c r="AT48" s="437"/>
      <c r="AU48" s="437" t="str">
        <f t="shared" si="1"/>
        <v>Добавить значение признака дифференциации</v>
      </c>
      <c r="AV48" s="437"/>
      <c r="AW48" s="437"/>
      <c r="AX48" s="1082">
        <v>20</v>
      </c>
    </row>
    <row r="49" spans="1:50" ht="21.95" customHeight="1">
      <c r="A49" s="1290" t="s">
        <v>292</v>
      </c>
      <c r="B49" s="1290" t="s">
        <v>293</v>
      </c>
      <c r="C49" s="1290" t="s">
        <v>294</v>
      </c>
      <c r="D49" s="1290" t="s">
        <v>572</v>
      </c>
      <c r="E49" s="2602"/>
      <c r="F49" s="2602"/>
      <c r="G49" s="2602"/>
      <c r="H49" s="2602"/>
      <c r="I49" s="2603"/>
      <c r="J49" s="1290"/>
      <c r="K49" s="1290"/>
      <c r="L49" s="1291"/>
      <c r="P49" s="2605"/>
      <c r="Q49" s="1281"/>
      <c r="R49" s="293"/>
      <c r="S49" s="1205"/>
      <c r="T49" s="302" t="s">
        <v>492</v>
      </c>
      <c r="U49" s="304"/>
      <c r="V49" s="304"/>
      <c r="W49" s="304"/>
      <c r="X49" s="304"/>
      <c r="Y49" s="304"/>
      <c r="Z49" s="304"/>
      <c r="AA49" s="304"/>
      <c r="AB49" s="303"/>
      <c r="AC49" s="304"/>
      <c r="AD49" s="304"/>
      <c r="AE49" s="304"/>
      <c r="AF49" s="304"/>
      <c r="AG49" s="304"/>
      <c r="AH49" s="304"/>
      <c r="AI49" s="303"/>
      <c r="AJ49" s="2136"/>
      <c r="AK49" s="2137"/>
      <c r="AL49" s="2138"/>
      <c r="AM49" s="2139"/>
      <c r="AN49" s="2140"/>
      <c r="AO49" s="2141"/>
      <c r="AP49" s="2142"/>
      <c r="AQ49" s="304"/>
      <c r="AR49" s="1367"/>
      <c r="AT49" s="437"/>
      <c r="AU49" s="437" t="str">
        <f t="shared" si="1"/>
        <v>Добавить группу потребителей</v>
      </c>
      <c r="AV49" s="437"/>
      <c r="AW49" s="437"/>
      <c r="AX49" s="1082">
        <v>21</v>
      </c>
    </row>
    <row r="50" spans="1:50" ht="21.95" customHeight="1">
      <c r="A50" s="1290" t="s">
        <v>292</v>
      </c>
      <c r="B50" s="1290" t="s">
        <v>293</v>
      </c>
      <c r="C50" s="1290" t="s">
        <v>294</v>
      </c>
      <c r="D50" s="1290" t="s">
        <v>572</v>
      </c>
      <c r="E50" s="2602"/>
      <c r="F50" s="2602"/>
      <c r="G50" s="2602"/>
      <c r="H50" s="2601"/>
      <c r="I50" s="1290"/>
      <c r="J50" s="1290"/>
      <c r="K50" s="1290"/>
      <c r="L50" s="1291"/>
      <c r="M50" s="1292"/>
      <c r="N50" s="1292"/>
      <c r="O50" s="474"/>
      <c r="P50" s="297"/>
      <c r="Q50" s="312"/>
      <c r="R50" s="292"/>
      <c r="S50" s="1205"/>
      <c r="T50" s="309" t="s">
        <v>565</v>
      </c>
      <c r="U50" s="304"/>
      <c r="V50" s="304"/>
      <c r="W50" s="304"/>
      <c r="X50" s="304"/>
      <c r="Y50" s="304"/>
      <c r="Z50" s="304"/>
      <c r="AA50" s="304"/>
      <c r="AB50" s="303"/>
      <c r="AC50" s="304"/>
      <c r="AD50" s="304"/>
      <c r="AE50" s="304"/>
      <c r="AF50" s="304"/>
      <c r="AG50" s="304"/>
      <c r="AH50" s="304"/>
      <c r="AI50" s="303"/>
      <c r="AJ50" s="2143"/>
      <c r="AK50" s="2144"/>
      <c r="AL50" s="2145"/>
      <c r="AM50" s="2146"/>
      <c r="AN50" s="2147"/>
      <c r="AO50" s="2148"/>
      <c r="AP50" s="2149"/>
      <c r="AQ50" s="304"/>
      <c r="AR50" s="240"/>
      <c r="AT50" s="437"/>
      <c r="AU50" s="437" t="str">
        <f t="shared" si="1"/>
        <v>Добавить наименование признака дифференциации</v>
      </c>
      <c r="AV50" s="437"/>
      <c r="AW50" s="437"/>
      <c r="AX50" s="1082">
        <v>21</v>
      </c>
    </row>
    <row r="51" spans="1:50" s="1569" customFormat="1" ht="0" hidden="1" customHeight="1">
      <c r="A51" s="1270" t="s">
        <v>292</v>
      </c>
      <c r="B51" s="1270" t="s">
        <v>293</v>
      </c>
      <c r="C51" s="1241"/>
      <c r="D51" s="1241"/>
      <c r="E51" s="2602"/>
      <c r="F51" s="2601"/>
      <c r="G51" s="1241"/>
      <c r="H51" s="1241"/>
      <c r="I51" s="1241"/>
      <c r="J51" s="1241"/>
      <c r="K51" s="1241"/>
      <c r="L51" s="1353"/>
      <c r="M51" s="1248"/>
      <c r="N51" s="1248"/>
      <c r="P51" s="1243"/>
      <c r="Q51" s="1244"/>
      <c r="R51" s="1243"/>
      <c r="S51" s="1249"/>
      <c r="T51" s="1252" t="s">
        <v>295</v>
      </c>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T51" s="720"/>
      <c r="AU51" s="720" t="str">
        <f t="shared" si="1"/>
        <v>Добавить централизованную систему для дифференциации</v>
      </c>
      <c r="AV51" s="720"/>
      <c r="AW51" s="720"/>
      <c r="AX51" s="455">
        <v>0</v>
      </c>
    </row>
    <row r="52" spans="1:50" s="1776" customFormat="1" ht="23.25" customHeight="1">
      <c r="A52" s="1290"/>
      <c r="B52" s="1290" t="s">
        <v>296</v>
      </c>
      <c r="C52" s="1290"/>
      <c r="D52" s="1290"/>
      <c r="E52" s="2602"/>
      <c r="F52" s="2601" t="s">
        <v>102</v>
      </c>
      <c r="G52" s="1290"/>
      <c r="H52" s="1290"/>
      <c r="I52" s="1290"/>
      <c r="J52" s="1290"/>
      <c r="K52" s="1290"/>
      <c r="L52" s="1296"/>
      <c r="M52" s="1292"/>
      <c r="N52" s="1292"/>
      <c r="O52" s="1292"/>
      <c r="P52" s="2001"/>
      <c r="Q52" s="289"/>
      <c r="R52" s="290"/>
      <c r="S52" s="2008" t="str">
        <f>INDEX(PT_DIFFERENTIATION_NUM_TER,MATCH(B52,PT_DIFFERENTIATION_TER_ID,0))</f>
        <v>1.2</v>
      </c>
      <c r="T52" s="1449" t="s">
        <v>477</v>
      </c>
      <c r="U52" s="237"/>
      <c r="V52" s="2595"/>
      <c r="W52" s="2596"/>
      <c r="X52" s="2596"/>
      <c r="Y52" s="2596"/>
      <c r="Z52" s="2596"/>
      <c r="AA52" s="2596"/>
      <c r="AB52" s="2597"/>
      <c r="AC52" s="2595" t="str">
        <f>INDEX(PT_DIFFERENTIATION_TER,MATCH(B52,PT_DIFFERENTIATION_TER_ID,0))</f>
        <v>Территория 3</v>
      </c>
      <c r="AD52" s="2596"/>
      <c r="AE52" s="2596"/>
      <c r="AF52" s="2596"/>
      <c r="AG52" s="2596"/>
      <c r="AH52" s="2596"/>
      <c r="AI52" s="2596"/>
      <c r="AJ52" s="2595"/>
      <c r="AK52" s="2596"/>
      <c r="AL52" s="2596"/>
      <c r="AM52" s="2596"/>
      <c r="AN52" s="2596"/>
      <c r="AO52" s="2596"/>
      <c r="AP52" s="2597"/>
      <c r="AQ52" s="2597"/>
      <c r="AR52" s="1185" t="s">
        <v>478</v>
      </c>
      <c r="AS52" s="1569"/>
      <c r="AT52" s="1551"/>
      <c r="AU52" s="1551" t="str">
        <f t="shared" si="1"/>
        <v>Территория действия тарифа</v>
      </c>
      <c r="AV52" s="1551"/>
      <c r="AW52" s="1551"/>
      <c r="AX52" s="1562">
        <v>0</v>
      </c>
    </row>
    <row r="53" spans="1:50" s="1776" customFormat="1" ht="23.25" customHeight="1">
      <c r="A53" s="1290"/>
      <c r="B53" s="1290"/>
      <c r="C53" s="1290" t="s">
        <v>297</v>
      </c>
      <c r="D53" s="1290"/>
      <c r="E53" s="2602"/>
      <c r="F53" s="2602">
        <v>1</v>
      </c>
      <c r="G53" s="2601">
        <v>1</v>
      </c>
      <c r="H53" s="1290"/>
      <c r="I53" s="1290"/>
      <c r="J53" s="1290"/>
      <c r="K53" s="1290"/>
      <c r="L53" s="1296"/>
      <c r="M53" s="1292"/>
      <c r="N53" s="1292"/>
      <c r="O53" s="1292"/>
      <c r="P53" s="291"/>
      <c r="Q53" s="289"/>
      <c r="R53" s="290"/>
      <c r="S53" s="2008" t="str">
        <f>INDEX(PT_DIFFERENTIATION_NUM_CS,MATCH(C53,PT_DIFFERENTIATION_CS_ID,0))</f>
        <v>1.2.1</v>
      </c>
      <c r="T53" s="246" t="s">
        <v>558</v>
      </c>
      <c r="U53" s="237"/>
      <c r="V53" s="2595"/>
      <c r="W53" s="2596"/>
      <c r="X53" s="2596"/>
      <c r="Y53" s="2596"/>
      <c r="Z53" s="2596"/>
      <c r="AA53" s="2596"/>
      <c r="AB53" s="2597"/>
      <c r="AC53" s="2595" t="str">
        <f>INDEX(PT_DIFFERENTIATION_CS,MATCH(C53,PT_DIFFERENTIATION_CS_ID,0))</f>
        <v>без дифференциации</v>
      </c>
      <c r="AD53" s="2596"/>
      <c r="AE53" s="2596"/>
      <c r="AF53" s="2596"/>
      <c r="AG53" s="2596"/>
      <c r="AH53" s="2596"/>
      <c r="AI53" s="2596"/>
      <c r="AJ53" s="2595"/>
      <c r="AK53" s="2596"/>
      <c r="AL53" s="2596"/>
      <c r="AM53" s="2596"/>
      <c r="AN53" s="2596"/>
      <c r="AO53" s="2596"/>
      <c r="AP53" s="2597"/>
      <c r="AQ53" s="2597"/>
      <c r="AR53" s="1185" t="s">
        <v>559</v>
      </c>
      <c r="AS53" s="1569"/>
      <c r="AT53" s="1551"/>
      <c r="AU53" s="1551" t="str">
        <f t="shared" si="1"/>
        <v>Наименование централизованной системы холодного водоснабжения</v>
      </c>
      <c r="AV53" s="1551"/>
      <c r="AW53" s="1551"/>
      <c r="AX53" s="1562">
        <v>0</v>
      </c>
    </row>
    <row r="54" spans="1:50" s="1776" customFormat="1" ht="23.25" customHeight="1">
      <c r="A54" s="1290"/>
      <c r="B54" s="1290"/>
      <c r="C54" s="1290"/>
      <c r="D54" s="1290"/>
      <c r="E54" s="2602"/>
      <c r="F54" s="2602">
        <v>1</v>
      </c>
      <c r="G54" s="2602"/>
      <c r="H54" s="2602"/>
      <c r="I54" s="2603" t="str">
        <f>S53&amp;".1"</f>
        <v>1.2.1.1</v>
      </c>
      <c r="J54" s="1290"/>
      <c r="K54" s="1290"/>
      <c r="L54" s="1296"/>
      <c r="M54" s="1703"/>
      <c r="N54" s="1703"/>
      <c r="O54" s="1703"/>
      <c r="P54" s="2605">
        <v>1</v>
      </c>
      <c r="Q54" s="2016"/>
      <c r="R54" s="293"/>
      <c r="S54" s="2008" t="str">
        <f>$I54</f>
        <v>1.2.1.1</v>
      </c>
      <c r="T54" s="222" t="s">
        <v>560</v>
      </c>
      <c r="U54" s="237"/>
      <c r="V54" s="2669"/>
      <c r="W54" s="2670"/>
      <c r="X54" s="2670"/>
      <c r="Y54" s="2670"/>
      <c r="Z54" s="2670"/>
      <c r="AA54" s="2670"/>
      <c r="AB54" s="2671"/>
      <c r="AC54" s="2672" t="s">
        <v>573</v>
      </c>
      <c r="AD54" s="2673"/>
      <c r="AE54" s="2673"/>
      <c r="AF54" s="2673"/>
      <c r="AG54" s="2673"/>
      <c r="AH54" s="2673"/>
      <c r="AI54" s="2673"/>
      <c r="AJ54" s="2669"/>
      <c r="AK54" s="2670"/>
      <c r="AL54" s="2670"/>
      <c r="AM54" s="2670"/>
      <c r="AN54" s="2670"/>
      <c r="AO54" s="2670"/>
      <c r="AP54" s="2671"/>
      <c r="AQ54" s="2674"/>
      <c r="AR54" s="1185" t="s">
        <v>561</v>
      </c>
      <c r="AS54" s="1569"/>
      <c r="AT54" s="1551"/>
      <c r="AU54" s="1551" t="str">
        <f t="shared" si="1"/>
        <v>Наименование признака дифференциации</v>
      </c>
      <c r="AV54" s="1551"/>
      <c r="AW54" s="1551"/>
      <c r="AX54" s="1562">
        <v>0</v>
      </c>
    </row>
    <row r="55" spans="1:50" s="1776" customFormat="1" ht="23.25" customHeight="1">
      <c r="A55" s="1290"/>
      <c r="B55" s="1290"/>
      <c r="C55" s="1290"/>
      <c r="D55" s="1290"/>
      <c r="E55" s="2602"/>
      <c r="F55" s="2602">
        <v>1</v>
      </c>
      <c r="G55" s="2602"/>
      <c r="H55" s="2602"/>
      <c r="I55" s="2604"/>
      <c r="J55" s="2603" t="str">
        <f>I54&amp;".1"</f>
        <v>1.2.1.1.1</v>
      </c>
      <c r="K55" s="1290"/>
      <c r="L55" s="1296" t="s">
        <v>486</v>
      </c>
      <c r="M55" s="1703"/>
      <c r="N55" s="1703"/>
      <c r="O55" s="1703"/>
      <c r="P55" s="2605"/>
      <c r="Q55" s="2605">
        <v>1</v>
      </c>
      <c r="R55" s="294"/>
      <c r="S55" s="2008" t="str">
        <f>$J55</f>
        <v>1.2.1.1.1</v>
      </c>
      <c r="T55" s="223" t="s">
        <v>487</v>
      </c>
      <c r="U55" s="237"/>
      <c r="V55" s="2589"/>
      <c r="W55" s="2590"/>
      <c r="X55" s="2590"/>
      <c r="Y55" s="2590"/>
      <c r="Z55" s="2590"/>
      <c r="AA55" s="2590"/>
      <c r="AB55" s="2591"/>
      <c r="AC55" s="2589" t="s">
        <v>573</v>
      </c>
      <c r="AD55" s="2590"/>
      <c r="AE55" s="2590"/>
      <c r="AF55" s="2590"/>
      <c r="AG55" s="2590"/>
      <c r="AH55" s="2590"/>
      <c r="AI55" s="2590"/>
      <c r="AJ55" s="2589"/>
      <c r="AK55" s="2590"/>
      <c r="AL55" s="2590"/>
      <c r="AM55" s="2590"/>
      <c r="AN55" s="2590"/>
      <c r="AO55" s="2590"/>
      <c r="AP55" s="2591"/>
      <c r="AQ55" s="2591"/>
      <c r="AR55" s="1234" t="s">
        <v>562</v>
      </c>
      <c r="AS55" s="1569"/>
      <c r="AT55" s="1551"/>
      <c r="AU55" s="1551" t="str">
        <f t="shared" si="1"/>
        <v>Группа потребителей</v>
      </c>
      <c r="AV55" s="1551"/>
      <c r="AW55" s="1551"/>
      <c r="AX55" s="1562">
        <v>0</v>
      </c>
    </row>
    <row r="56" spans="1:50" s="1776" customFormat="1" ht="23.25" customHeight="1">
      <c r="A56" s="1290"/>
      <c r="B56" s="1290"/>
      <c r="C56" s="1290"/>
      <c r="D56" s="1290"/>
      <c r="E56" s="2602"/>
      <c r="F56" s="2602">
        <v>1</v>
      </c>
      <c r="G56" s="2602"/>
      <c r="H56" s="2602"/>
      <c r="I56" s="2604"/>
      <c r="J56" s="2604"/>
      <c r="K56" s="2603" t="str">
        <f>J55&amp;".1"</f>
        <v>1.2.1.1.1.1</v>
      </c>
      <c r="L56" s="1296"/>
      <c r="M56" s="1703"/>
      <c r="N56" s="1703"/>
      <c r="O56" s="1703"/>
      <c r="P56" s="2605"/>
      <c r="Q56" s="2605"/>
      <c r="R56" s="294">
        <v>1</v>
      </c>
      <c r="S56" s="2008" t="str">
        <f>$K56</f>
        <v>1.2.1.1.1.1</v>
      </c>
      <c r="T56" s="1364" t="s">
        <v>574</v>
      </c>
      <c r="U56" s="237"/>
      <c r="V56" s="688"/>
      <c r="W56" s="688"/>
      <c r="X56" s="1184"/>
      <c r="Y56" s="2606"/>
      <c r="Z56" s="2471" t="s">
        <v>66</v>
      </c>
      <c r="AA56" s="2606"/>
      <c r="AB56" s="2471" t="s">
        <v>66</v>
      </c>
      <c r="AC56" s="688">
        <v>117.15</v>
      </c>
      <c r="AD56" s="688"/>
      <c r="AE56" s="1184"/>
      <c r="AF56" s="2606">
        <v>45658.502800925926</v>
      </c>
      <c r="AG56" s="2471" t="s">
        <v>66</v>
      </c>
      <c r="AH56" s="2608">
        <v>45838.502870370372</v>
      </c>
      <c r="AI56" s="2471" t="s">
        <v>66</v>
      </c>
      <c r="AJ56" s="688">
        <v>117.15</v>
      </c>
      <c r="AK56" s="688"/>
      <c r="AL56" s="1184"/>
      <c r="AM56" s="2606">
        <v>45839.502951388888</v>
      </c>
      <c r="AN56" s="2471" t="s">
        <v>66</v>
      </c>
      <c r="AO56" s="2606">
        <v>46022.50304398148</v>
      </c>
      <c r="AP56" s="2471" t="s">
        <v>66</v>
      </c>
      <c r="AQ56" s="1365"/>
      <c r="AR5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6" s="1569" t="e">
        <f ca="1">STRCHECKDATE(V57:AQ57)</f>
        <v>#NAME?</v>
      </c>
      <c r="AT56" s="1551"/>
      <c r="AU56" s="1551" t="str">
        <f t="shared" si="1"/>
        <v>Тариф (руб./куб.м без НДС)</v>
      </c>
      <c r="AV56" s="1551"/>
      <c r="AW56" s="1551"/>
      <c r="AX56" s="1562">
        <v>0</v>
      </c>
    </row>
    <row r="57" spans="1:50" s="1776" customFormat="1" ht="14.25" customHeight="1">
      <c r="A57" s="1290"/>
      <c r="B57" s="1290"/>
      <c r="C57" s="1290"/>
      <c r="D57" s="1290"/>
      <c r="E57" s="2602"/>
      <c r="F57" s="2602">
        <v>1</v>
      </c>
      <c r="G57" s="2602"/>
      <c r="H57" s="2602"/>
      <c r="I57" s="2604"/>
      <c r="J57" s="2604"/>
      <c r="K57" s="2603"/>
      <c r="L57" s="1296"/>
      <c r="M57" s="1703"/>
      <c r="N57" s="1703"/>
      <c r="O57" s="1703"/>
      <c r="P57" s="2605"/>
      <c r="Q57" s="2605"/>
      <c r="R57" s="294"/>
      <c r="S57" s="2020"/>
      <c r="T57" s="237"/>
      <c r="U57" s="237"/>
      <c r="V57" s="262"/>
      <c r="W57" s="262"/>
      <c r="X57" s="265" t="str">
        <f>Y56&amp;"-"&amp;AA56</f>
        <v>-</v>
      </c>
      <c r="Y57" s="2607"/>
      <c r="Z57" s="2471"/>
      <c r="AA57" s="2607"/>
      <c r="AB57" s="2471"/>
      <c r="AC57" s="262"/>
      <c r="AD57" s="262"/>
      <c r="AE57" s="265" t="str">
        <f>AF56&amp;"-"&amp;AH56</f>
        <v>45658,5028009259-45838,5028703704</v>
      </c>
      <c r="AF57" s="2607"/>
      <c r="AG57" s="2471"/>
      <c r="AH57" s="2609"/>
      <c r="AI57" s="2471"/>
      <c r="AJ57" s="262"/>
      <c r="AK57" s="262"/>
      <c r="AL57" s="265" t="str">
        <f>AM56&amp;"-"&amp;AO56</f>
        <v>45839,5029513889-46022,5030439815</v>
      </c>
      <c r="AM57" s="2607"/>
      <c r="AN57" s="2471"/>
      <c r="AO57" s="2607"/>
      <c r="AP57" s="2471"/>
      <c r="AQ57" s="1366"/>
      <c r="AR57" s="2675"/>
      <c r="AS57" s="1569"/>
      <c r="AT57" s="1551"/>
      <c r="AU57" s="1551" t="str">
        <f t="shared" si="1"/>
        <v/>
      </c>
      <c r="AV57" s="1551"/>
      <c r="AW57" s="1551"/>
      <c r="AX57" s="1562">
        <v>0</v>
      </c>
    </row>
    <row r="58" spans="1:50" s="1776" customFormat="1" ht="21" customHeight="1">
      <c r="A58" s="1290"/>
      <c r="B58" s="1290"/>
      <c r="C58" s="1290"/>
      <c r="D58" s="1290"/>
      <c r="E58" s="2602"/>
      <c r="F58" s="2602">
        <v>1</v>
      </c>
      <c r="G58" s="2602"/>
      <c r="H58" s="2602"/>
      <c r="I58" s="2604"/>
      <c r="J58" s="2603"/>
      <c r="K58" s="1290"/>
      <c r="L58" s="1296"/>
      <c r="M58" s="1703"/>
      <c r="N58" s="1703"/>
      <c r="O58" s="1703"/>
      <c r="P58" s="2605"/>
      <c r="Q58" s="2605"/>
      <c r="R58" s="293"/>
      <c r="S58" s="2150"/>
      <c r="T58" s="2151" t="s">
        <v>563</v>
      </c>
      <c r="U58" s="2152"/>
      <c r="V58" s="2153"/>
      <c r="W58" s="2154"/>
      <c r="X58" s="2155"/>
      <c r="Y58" s="2156"/>
      <c r="Z58" s="2157"/>
      <c r="AA58" s="2158"/>
      <c r="AB58" s="2159"/>
      <c r="AC58" s="2160"/>
      <c r="AD58" s="2161"/>
      <c r="AE58" s="2162"/>
      <c r="AF58" s="2163"/>
      <c r="AG58" s="2164"/>
      <c r="AH58" s="2165"/>
      <c r="AI58" s="2166"/>
      <c r="AJ58" s="2167"/>
      <c r="AK58" s="2168"/>
      <c r="AL58" s="2169"/>
      <c r="AM58" s="2170"/>
      <c r="AN58" s="2171"/>
      <c r="AO58" s="2172"/>
      <c r="AP58" s="2173"/>
      <c r="AQ58" s="2174"/>
      <c r="AR58" s="1185" t="s">
        <v>564</v>
      </c>
      <c r="AS58" s="1569"/>
      <c r="AT58" s="1551"/>
      <c r="AU58" s="1551" t="str">
        <f t="shared" si="1"/>
        <v>Добавить значение признака дифференциации</v>
      </c>
      <c r="AV58" s="1551"/>
      <c r="AW58" s="1551"/>
      <c r="AX58" s="1562">
        <v>0</v>
      </c>
    </row>
    <row r="59" spans="1:50" s="1776" customFormat="1" ht="21" customHeight="1">
      <c r="A59" s="1290"/>
      <c r="B59" s="1290"/>
      <c r="C59" s="1290"/>
      <c r="D59" s="1290"/>
      <c r="E59" s="2602"/>
      <c r="F59" s="2602">
        <v>1</v>
      </c>
      <c r="G59" s="2602"/>
      <c r="H59" s="2602"/>
      <c r="I59" s="2603"/>
      <c r="J59" s="1290"/>
      <c r="K59" s="1290"/>
      <c r="L59" s="1296"/>
      <c r="M59" s="1703"/>
      <c r="N59" s="1703"/>
      <c r="O59" s="1703"/>
      <c r="P59" s="2605"/>
      <c r="Q59" s="2016"/>
      <c r="R59" s="293"/>
      <c r="S59" s="2175"/>
      <c r="T59" s="2176" t="s">
        <v>492</v>
      </c>
      <c r="U59" s="2177"/>
      <c r="V59" s="2178"/>
      <c r="W59" s="2179"/>
      <c r="X59" s="2180"/>
      <c r="Y59" s="2181"/>
      <c r="Z59" s="2182"/>
      <c r="AA59" s="2183"/>
      <c r="AB59" s="2184"/>
      <c r="AC59" s="2185"/>
      <c r="AD59" s="2186"/>
      <c r="AE59" s="2187"/>
      <c r="AF59" s="2188"/>
      <c r="AG59" s="2189"/>
      <c r="AH59" s="2190"/>
      <c r="AI59" s="2191"/>
      <c r="AJ59" s="2192"/>
      <c r="AK59" s="2193"/>
      <c r="AL59" s="2194"/>
      <c r="AM59" s="2195"/>
      <c r="AN59" s="2196"/>
      <c r="AO59" s="2197"/>
      <c r="AP59" s="2198"/>
      <c r="AQ59" s="2199"/>
      <c r="AR59" s="2200"/>
      <c r="AS59" s="1569"/>
      <c r="AT59" s="1551"/>
      <c r="AU59" s="1551" t="str">
        <f t="shared" si="1"/>
        <v>Добавить группу потребителей</v>
      </c>
      <c r="AV59" s="1551"/>
      <c r="AW59" s="1551"/>
      <c r="AX59" s="1562">
        <v>0</v>
      </c>
    </row>
    <row r="60" spans="1:50" s="1776" customFormat="1" ht="14.25" customHeight="1">
      <c r="A60" s="1290"/>
      <c r="B60" s="1290"/>
      <c r="C60" s="1290"/>
      <c r="D60" s="1290"/>
      <c r="E60" s="2602"/>
      <c r="F60" s="2602">
        <v>1</v>
      </c>
      <c r="G60" s="2602"/>
      <c r="H60" s="2601"/>
      <c r="I60" s="1290"/>
      <c r="J60" s="1290"/>
      <c r="K60" s="1290"/>
      <c r="L60" s="1296"/>
      <c r="M60" s="1292"/>
      <c r="N60" s="1292"/>
      <c r="O60" s="1293"/>
      <c r="P60" s="1749"/>
      <c r="Q60" s="312"/>
      <c r="R60" s="292"/>
      <c r="S60" s="2201"/>
      <c r="T60" s="2202" t="s">
        <v>565</v>
      </c>
      <c r="U60" s="2203"/>
      <c r="V60" s="2204"/>
      <c r="W60" s="2205"/>
      <c r="X60" s="2206"/>
      <c r="Y60" s="2207"/>
      <c r="Z60" s="2208"/>
      <c r="AA60" s="2209"/>
      <c r="AB60" s="2210"/>
      <c r="AC60" s="2211"/>
      <c r="AD60" s="2212"/>
      <c r="AE60" s="2213"/>
      <c r="AF60" s="2214"/>
      <c r="AG60" s="2215"/>
      <c r="AH60" s="2216"/>
      <c r="AI60" s="2217"/>
      <c r="AJ60" s="2218"/>
      <c r="AK60" s="2219"/>
      <c r="AL60" s="2220"/>
      <c r="AM60" s="2221"/>
      <c r="AN60" s="2222"/>
      <c r="AO60" s="2223"/>
      <c r="AP60" s="2224"/>
      <c r="AQ60" s="2225"/>
      <c r="AR60" s="2226"/>
      <c r="AS60" s="1569"/>
      <c r="AT60" s="1551"/>
      <c r="AU60" s="1551" t="str">
        <f t="shared" si="1"/>
        <v>Добавить наименование признака дифференциации</v>
      </c>
      <c r="AV60" s="1551"/>
      <c r="AW60" s="1551"/>
      <c r="AX60" s="1562">
        <v>0</v>
      </c>
    </row>
    <row r="61" spans="1:50" s="559" customFormat="1" ht="14.25" customHeight="1">
      <c r="A61" s="1270"/>
      <c r="B61" s="1270"/>
      <c r="C61" s="1270"/>
      <c r="D61" s="1270"/>
      <c r="E61" s="2602"/>
      <c r="F61" s="2601">
        <v>1</v>
      </c>
      <c r="G61" s="1270"/>
      <c r="H61" s="1270"/>
      <c r="I61" s="1270"/>
      <c r="J61" s="1270"/>
      <c r="K61" s="1270"/>
      <c r="L61" s="1472"/>
      <c r="M61" s="1248"/>
      <c r="N61" s="1248"/>
      <c r="O61" s="1569"/>
      <c r="P61" s="1243"/>
      <c r="Q61" s="1271"/>
      <c r="R61" s="1243"/>
      <c r="S61" s="1249"/>
      <c r="T61" s="1252" t="s">
        <v>295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569"/>
      <c r="AT61" s="1551"/>
      <c r="AU61" s="1551" t="str">
        <f t="shared" si="1"/>
        <v>Добавить централизованную систему для дифференциации</v>
      </c>
      <c r="AV61" s="1551"/>
      <c r="AW61" s="1551"/>
      <c r="AX61" s="1569">
        <v>0</v>
      </c>
    </row>
    <row r="62" spans="1:50" s="1569" customFormat="1" ht="0" hidden="1" customHeight="1">
      <c r="A62" s="1270" t="s">
        <v>292</v>
      </c>
      <c r="B62" s="1270"/>
      <c r="C62" s="1270"/>
      <c r="D62" s="1270"/>
      <c r="E62" s="2601"/>
      <c r="F62" s="1270"/>
      <c r="G62" s="1270"/>
      <c r="H62" s="1270"/>
      <c r="I62" s="1270"/>
      <c r="J62" s="1270"/>
      <c r="K62" s="1270"/>
      <c r="L62" s="1273"/>
      <c r="M62" s="1248"/>
      <c r="N62" s="1248"/>
      <c r="O62" s="455"/>
      <c r="P62" s="317"/>
      <c r="Q62" s="1271"/>
      <c r="R62" s="317"/>
      <c r="S62" s="1249"/>
      <c r="T62" s="1252" t="s">
        <v>299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T62" s="437"/>
      <c r="AU62" s="437" t="str">
        <f t="shared" si="1"/>
        <v>Добавить территорию для дифференциации</v>
      </c>
      <c r="AV62" s="437"/>
      <c r="AW62" s="437"/>
      <c r="AX62" s="448">
        <v>0</v>
      </c>
    </row>
    <row r="63" spans="1:50" s="1569" customFormat="1" ht="0" hidden="1" customHeight="1">
      <c r="A63" s="1241"/>
      <c r="B63" s="1241"/>
      <c r="C63" s="1241"/>
      <c r="D63" s="1241"/>
      <c r="E63" s="1270"/>
      <c r="F63" s="1241"/>
      <c r="G63" s="1241"/>
      <c r="H63" s="1241"/>
      <c r="I63" s="1241"/>
      <c r="J63" s="1241"/>
      <c r="K63" s="1241"/>
      <c r="L63" s="1353"/>
      <c r="M63" s="1248"/>
      <c r="N63" s="1248"/>
      <c r="P63" s="1243"/>
      <c r="Q63" s="1244"/>
      <c r="R63" s="1243"/>
      <c r="S63" s="1249"/>
      <c r="T63" s="1252" t="s">
        <v>300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T63" s="720"/>
      <c r="AU63" s="720" t="str">
        <f t="shared" si="1"/>
        <v>Добавить наименование тарифа</v>
      </c>
      <c r="AV63" s="720"/>
      <c r="AW63" s="720"/>
      <c r="AX63" s="455">
        <v>0</v>
      </c>
    </row>
    <row r="64" spans="1:50" ht="11.45" customHeight="1">
      <c r="M64" s="1087"/>
      <c r="N64" s="1087"/>
      <c r="O64" s="474"/>
      <c r="P64" s="1082"/>
      <c r="Q64" s="1082"/>
      <c r="R64" s="1082"/>
      <c r="S64" s="1082"/>
      <c r="AJ64" s="1562"/>
      <c r="AK64" s="1562"/>
      <c r="AL64" s="1562"/>
      <c r="AM64" s="1562"/>
      <c r="AN64" s="1562"/>
      <c r="AO64" s="1562"/>
      <c r="AP64" s="1562"/>
      <c r="AS64" s="1082"/>
      <c r="AT64" s="1082"/>
      <c r="AU64" s="1082"/>
      <c r="AV64" s="1082"/>
      <c r="AW64" s="1082"/>
      <c r="AX64" s="1082">
        <v>11</v>
      </c>
    </row>
    <row r="65" spans="1:50" ht="14.65" customHeight="1">
      <c r="O65" s="474"/>
      <c r="S65" s="118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X65" s="1082">
        <v>14</v>
      </c>
    </row>
    <row r="66" spans="1:50" ht="14.65" customHeight="1">
      <c r="O66" s="474"/>
      <c r="AJ66" s="1562"/>
      <c r="AK66" s="1562"/>
      <c r="AL66" s="1562"/>
      <c r="AM66" s="1562"/>
      <c r="AN66" s="1562"/>
      <c r="AO66" s="1562"/>
      <c r="AP66" s="1562"/>
      <c r="AX66" s="1082">
        <v>14</v>
      </c>
    </row>
    <row r="67" spans="1:50" ht="14.65" customHeight="1">
      <c r="O67" s="474"/>
      <c r="S67" s="118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X67" s="1082">
        <v>14</v>
      </c>
    </row>
    <row r="68" spans="1:50" ht="22.5" hidden="1" customHeight="1">
      <c r="A68" s="1087" t="s">
        <v>82</v>
      </c>
      <c r="B68" s="1087">
        <v>0</v>
      </c>
      <c r="C68" s="1087">
        <v>0</v>
      </c>
      <c r="D68" s="1087">
        <v>0</v>
      </c>
      <c r="E68" s="1087">
        <v>0</v>
      </c>
      <c r="F68" s="1087">
        <v>0</v>
      </c>
      <c r="G68" s="1087">
        <v>0</v>
      </c>
      <c r="H68" s="1087">
        <v>0</v>
      </c>
      <c r="I68" s="1087">
        <v>0</v>
      </c>
      <c r="J68" s="1087">
        <v>0</v>
      </c>
      <c r="K68" s="1087">
        <v>0</v>
      </c>
      <c r="L68" s="1348">
        <v>0</v>
      </c>
      <c r="M68" s="1289">
        <v>0</v>
      </c>
      <c r="N68" s="1289">
        <v>0</v>
      </c>
      <c r="O68" s="1289">
        <v>0</v>
      </c>
      <c r="P68" s="1278">
        <v>3</v>
      </c>
      <c r="Q68" s="281">
        <v>3</v>
      </c>
      <c r="R68" s="281">
        <v>3</v>
      </c>
      <c r="S68" s="518">
        <v>12</v>
      </c>
      <c r="T68" s="1082">
        <v>35</v>
      </c>
      <c r="U68" s="1082">
        <v>0</v>
      </c>
      <c r="V68" s="1082">
        <v>0</v>
      </c>
      <c r="W68" s="1082">
        <v>0</v>
      </c>
      <c r="X68" s="1082">
        <v>0</v>
      </c>
      <c r="Y68" s="1082">
        <v>0</v>
      </c>
      <c r="Z68" s="1082">
        <v>0</v>
      </c>
      <c r="AA68" s="1082">
        <v>0</v>
      </c>
      <c r="AB68" s="1082">
        <v>0</v>
      </c>
      <c r="AC68" s="1082">
        <v>24</v>
      </c>
      <c r="AD68" s="1082">
        <v>24</v>
      </c>
      <c r="AE68" s="1082">
        <v>24</v>
      </c>
      <c r="AF68" s="1082">
        <v>11</v>
      </c>
      <c r="AG68" s="1082">
        <v>3</v>
      </c>
      <c r="AH68" s="1082">
        <v>11</v>
      </c>
      <c r="AI68" s="1082">
        <v>0</v>
      </c>
      <c r="AJ68" s="1562">
        <v>0</v>
      </c>
      <c r="AK68" s="1562">
        <v>0</v>
      </c>
      <c r="AL68" s="1562">
        <v>0</v>
      </c>
      <c r="AM68" s="1562">
        <v>0</v>
      </c>
      <c r="AN68" s="1562">
        <v>0</v>
      </c>
      <c r="AO68" s="1562">
        <v>0</v>
      </c>
      <c r="AP68" s="1562">
        <v>0</v>
      </c>
      <c r="AQ68" s="1082">
        <v>4</v>
      </c>
      <c r="AR68" s="1082">
        <v>115</v>
      </c>
      <c r="AS68" s="448">
        <v>10</v>
      </c>
      <c r="AT68" s="448">
        <v>10</v>
      </c>
      <c r="AU68" s="448">
        <v>10</v>
      </c>
      <c r="AV68" s="448">
        <v>10</v>
      </c>
      <c r="AW68" s="448">
        <v>10</v>
      </c>
      <c r="AX68" s="1082">
        <v>23</v>
      </c>
    </row>
  </sheetData>
  <sheetProtection formatColumns="0" formatRows="0" insertRows="0" deleteColumns="0" deleteRows="0" sort="0" autoFilter="0"/>
  <mergeCells count="151">
    <mergeCell ref="AN40:AO40"/>
    <mergeCell ref="AM56:AM57"/>
    <mergeCell ref="AN56:AN57"/>
    <mergeCell ref="AO56:AO57"/>
    <mergeCell ref="AP56:AP57"/>
    <mergeCell ref="AP46:AP47"/>
    <mergeCell ref="AN46:AN47"/>
    <mergeCell ref="AO46:AO47"/>
    <mergeCell ref="AM46:AM47"/>
    <mergeCell ref="AJ29:AO29"/>
    <mergeCell ref="AJ30:AO30"/>
    <mergeCell ref="AJ32:AO32"/>
    <mergeCell ref="AJ33:AO33"/>
    <mergeCell ref="AJ35:AP35"/>
    <mergeCell ref="AJ37:AO37"/>
    <mergeCell ref="AP37:AP39"/>
    <mergeCell ref="AK38:AL38"/>
    <mergeCell ref="AM38:AO38"/>
    <mergeCell ref="AN39:AO39"/>
    <mergeCell ref="G53:G60"/>
    <mergeCell ref="V53:AB53"/>
    <mergeCell ref="AC53:AQ53"/>
    <mergeCell ref="H54:H60"/>
    <mergeCell ref="AI56:AI57"/>
    <mergeCell ref="K56:K57"/>
    <mergeCell ref="Y56:Y57"/>
    <mergeCell ref="Z56:Z57"/>
    <mergeCell ref="AA56:AA57"/>
    <mergeCell ref="AB56:AB57"/>
    <mergeCell ref="I54:I59"/>
    <mergeCell ref="P54:P59"/>
    <mergeCell ref="V54:AB54"/>
    <mergeCell ref="AC54:AQ54"/>
    <mergeCell ref="J55:J58"/>
    <mergeCell ref="Q55:Q58"/>
    <mergeCell ref="V55:AB55"/>
    <mergeCell ref="AC55:AQ55"/>
    <mergeCell ref="AG56:AG57"/>
    <mergeCell ref="AH56:AH57"/>
    <mergeCell ref="AF56:AF57"/>
    <mergeCell ref="T65:AR65"/>
    <mergeCell ref="T67:AR67"/>
    <mergeCell ref="Q45:Q48"/>
    <mergeCell ref="V45:AB45"/>
    <mergeCell ref="AC45:AQ45"/>
    <mergeCell ref="AF46:AF47"/>
    <mergeCell ref="AG46:AG47"/>
    <mergeCell ref="AR46:AR47"/>
    <mergeCell ref="AH46:AH47"/>
    <mergeCell ref="AI46:AI47"/>
    <mergeCell ref="V52:AB52"/>
    <mergeCell ref="AC52:AQ52"/>
    <mergeCell ref="AR56:AR57"/>
    <mergeCell ref="AB46:AB47"/>
    <mergeCell ref="Z46:Z47"/>
    <mergeCell ref="AA46:AA47"/>
    <mergeCell ref="Y46:Y47"/>
    <mergeCell ref="E41:E62"/>
    <mergeCell ref="V41:AB41"/>
    <mergeCell ref="AC41:AQ41"/>
    <mergeCell ref="F42:F51"/>
    <mergeCell ref="V42:AB42"/>
    <mergeCell ref="AC42:AQ42"/>
    <mergeCell ref="G43:G50"/>
    <mergeCell ref="Y38:AA38"/>
    <mergeCell ref="AD38:AE38"/>
    <mergeCell ref="AF38:AH38"/>
    <mergeCell ref="Z39:AA39"/>
    <mergeCell ref="H44:H50"/>
    <mergeCell ref="I44:I49"/>
    <mergeCell ref="P44:P49"/>
    <mergeCell ref="V44:AB44"/>
    <mergeCell ref="AC44:AQ44"/>
    <mergeCell ref="J45:J48"/>
    <mergeCell ref="AG39:AH39"/>
    <mergeCell ref="Z40:AA40"/>
    <mergeCell ref="AG40:AH40"/>
    <mergeCell ref="K46:K47"/>
    <mergeCell ref="V43:AB43"/>
    <mergeCell ref="AC43:AQ43"/>
    <mergeCell ref="F52:F61"/>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allowBlank="1" promptTitle="checkPeriodRange" sqref="X65589 X131125 X196661 X262197 X327733 X393269 X458805 X524341 X589877 X655413 X720949 X786485 X852021 X917557 X983093 AE16 AE65589 AE131125 AE196661 AE262197 AE327733 AE393269 AE458805 AE524341 AE589877 AE655413 AE720949 AE786485 AE852021 AE917557 AE983093 AE47 AE8 X8 X47 X57 AE57 AL8 AL47 AL57"/>
    <dataValidation type="list" allowBlank="1" showInputMessage="1" showErrorMessage="1" errorTitle="Ошибка" error="Выберите значение из списка" sqref="V983090 V65586 V131122 V196658 V262194 V327730 V393266 V458802 V524338 V589874 V655410 V720946 V786482 V852018 V917554 AC983090 AC65586 AC131122 AC196658 AC262194 AC327730 AC393266 AC458802 AC524338 AC589874 AC655410 AC720946 AC786482 AC852018 AC917554">
      <formula1>kind_of_scheme_in</formula1>
    </dataValidation>
    <dataValidation type="textLength" operator="lessThanOrEqual" allowBlank="1" showInputMessage="1" showErrorMessage="1" errorTitle="Ошибка" error="Допускается ввод не более 900 символов!" sqref="AR65582:AR65589 AR131118:AR131125 AR196654:AR196661 AR262190:AR262197 AR327726:AR327733 AR393262:AR393269 AR458798:AR458805 AR524334:AR524341 AR589870:AR589877 AR655406:AR655413 AR720942:AR720949 AR786478:AR786485 AR852014:AR852021 AR917550:AR917557 AR983086:AR983093 T46 T7 AC5:AI5 AQ5 AC44:AI44 AQ44 AC54 AD54 AE54 AF54 AG54 AH54 AI54 AQ54 T56">
      <formula1>900</formula1>
    </dataValidation>
    <dataValidation type="list" allowBlank="1" showInputMessage="1" showErrorMessage="1" errorTitle="Ошибка" error="Выберите значение из списка" sqref="T65588 T131124 T196660 T262196 T327732 T393268 T458804 T524340 T589876 T655412 T720948 T786484 T852020 T917556 T98309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8 Y131124 Y196660 Y262196 Y327732 Y393268 Y458804 Y524340 Y589876 Y655412 Y720948 Y786484 Y852020 Y917556 Y983092 AA65588 AA131124 AA196660 AA262196 AA327732 AA393268 AA458804 AA524340 AA589876 AA655412 AA720948 AA786484 AA852020 AA917556 AA983092 AF15 AF65588 AF131124 AF196660 AF262196 AF327732 AF393268 AF458804 AF524340 AF589876 AF655412 AF720948 AF786484 AF852020 AF917556 AF983092 AH65588 AH131124 AH196660 AH262196 AH327732 AH393268 AH458804 AH524340 AH589876 AH655412 AH720948 AH786484 AH852020 AH917556 AH983092 AH46 AF46 AH15 AH7 AF7 Y7 AA7 Y46 AA46 Y56 AA56 AF56 AH56 AM7 AO7 AM46 AO46 AM56 AO56"/>
    <dataValidation allowBlank="1" showInputMessage="1" showErrorMessage="1" prompt="Для выбора выполните двойной щелчок левой клавиши мыши по соответствующей ячейке." sqref="Z65588 Z131124 Z196660 Z262196 Z327732 Z393268 Z458804 Z524340 Z589876 Z655412 Z720948 Z786484 Z852020 Z917556 Z983092 AB131124 AB458804 AB196660 AB262196 AB327732 AB393268 AB524340 AB589876 AB655412 AB720948 AB786484 AB852020 AB917556 AB983092 AB65588 AG65588 AG131124 AG196660 AG262196 AG327732 AG393268 AG458804 AG524340 AG589876 AG655412 AG720948 AG786484 AG852020 AG917556 AG983092 AI524340:AP524340 AI196660:AP196660 AI589876:AP589876 AI655412:AP655412 AI15 AI720948:AP720948 AI786484:AP786484 AI852020:AP852020 AI917556:AP917556 AI983092:AP983092 AI65588:AP65588 AI131124:AP131124 AI458804:AP458804 AI262196:AP262196 AI7 AN7 AP7 AG46 AI327732:AP327732 AG15 AG7 Z7 AB7 AI393268:AP393268 AI46 AN46 AP46 Z46 AB46 Z56 AB56 AG56 AI56 AN56 AP56"/>
    <dataValidation allowBlank="1" sqref="S131126:AR131132 S196662:AR196668 S262198:AR262204 S327734:AR327740 S393270:AR393276 S458806:AR458812 S524342:AR524348 S589878:AR589884 S655414:AR655420 S720950:AR720956 S786486:AR786492 S852022:AR852028 S917558:AR917564 S983094:AR983100 S65590:AR65596"/>
    <dataValidation type="list" allowBlank="1" showInputMessage="1" errorTitle="Ошибка" error="Выберите значение из списка" prompt="Выберите значение из списка" sqref="V983091:AQ983091 V65587:AQ65587 V131123:AQ131123 V196659:AQ196659 V262195:AQ262195 V327731:AQ327731 V393267:AQ393267 V458803:AQ458803 V524339:AQ524339 V589875:AQ589875 V655411:AQ655411 V720947:AQ720947 V786483:AQ786483 V852019:AQ852019 V917555:AQ91755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X78"/>
  <sheetViews>
    <sheetView showGridLines="0" tabSelected="1" zoomScale="90" workbookViewId="0">
      <pane xSplit="28" ySplit="40" topLeftCell="AC41" activePane="bottomRight" state="frozen"/>
      <selection pane="topRight" activeCell="AC1" sqref="AC1"/>
      <selection pane="bottomLeft" activeCell="A41" sqref="A41"/>
      <selection pane="bottomRight" activeCell="T43" sqref="T43"/>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1562"/>
      <c r="AX1" s="1082" t="s">
        <v>14</v>
      </c>
    </row>
    <row r="2" spans="1:50" ht="23.25" hidden="1" customHeight="1">
      <c r="A2" s="1290"/>
      <c r="B2" s="1290"/>
      <c r="C2" s="1290"/>
      <c r="D2" s="1290"/>
      <c r="E2" s="2601">
        <v>1</v>
      </c>
      <c r="F2" s="1290"/>
      <c r="G2" s="1290"/>
      <c r="H2" s="1290"/>
      <c r="I2" s="1290"/>
      <c r="J2" s="1290"/>
      <c r="K2" s="1290"/>
      <c r="L2" s="1291"/>
      <c r="M2" s="1292"/>
      <c r="N2" s="1292"/>
      <c r="O2" s="1292"/>
      <c r="P2" s="298"/>
      <c r="Q2" s="297"/>
      <c r="R2" s="292"/>
      <c r="S2" s="1384" t="e">
        <f>INDEX(PT_DIFFERENTIATION_NUM_NTAR,MATCH(A2,PT_DIFFERENTIATION_NTAR_ID,0))</f>
        <v>#N/A</v>
      </c>
      <c r="T2" s="235" t="s">
        <v>189</v>
      </c>
      <c r="U2" s="237"/>
      <c r="V2" s="2595"/>
      <c r="W2" s="2596"/>
      <c r="X2" s="2596"/>
      <c r="Y2" s="2596"/>
      <c r="Z2" s="2596"/>
      <c r="AA2" s="2596"/>
      <c r="AB2" s="2597"/>
      <c r="AC2" s="2595" t="e">
        <f>INDEX(PT_DIFFERENTIATION_NTAR,MATCH(A2,PT_DIFFERENTIATION_NTAR_ID,0))</f>
        <v>#N/A</v>
      </c>
      <c r="AD2" s="2596"/>
      <c r="AE2" s="2596"/>
      <c r="AF2" s="2596"/>
      <c r="AG2" s="2596"/>
      <c r="AH2" s="2596"/>
      <c r="AI2" s="2596"/>
      <c r="AJ2" s="2595"/>
      <c r="AK2" s="2596"/>
      <c r="AL2" s="2596"/>
      <c r="AM2" s="2596"/>
      <c r="AN2" s="2596"/>
      <c r="AO2" s="2596"/>
      <c r="AP2" s="2597"/>
      <c r="AQ2" s="2597"/>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2602"/>
      <c r="F3" s="2601">
        <v>1</v>
      </c>
      <c r="G3" s="1290"/>
      <c r="H3" s="1290"/>
      <c r="I3" s="1290"/>
      <c r="J3" s="1290"/>
      <c r="K3" s="1290"/>
      <c r="L3" s="1291"/>
      <c r="M3" s="1292"/>
      <c r="N3" s="1292"/>
      <c r="O3" s="1292"/>
      <c r="P3" s="1380"/>
      <c r="Q3" s="289"/>
      <c r="R3" s="290"/>
      <c r="S3" s="1384" t="e">
        <f>INDEX(PT_DIFFERENTIATION_NUM_TER,MATCH(B3,PT_DIFFERENTIATION_TER_ID,0))</f>
        <v>#N/A</v>
      </c>
      <c r="T3" s="245" t="s">
        <v>477</v>
      </c>
      <c r="U3" s="237"/>
      <c r="V3" s="2595"/>
      <c r="W3" s="2596"/>
      <c r="X3" s="2596"/>
      <c r="Y3" s="2596"/>
      <c r="Z3" s="2596"/>
      <c r="AA3" s="2596"/>
      <c r="AB3" s="2597"/>
      <c r="AC3" s="2595" t="e">
        <f>INDEX(PT_DIFFERENTIATION_TER,MATCH(B3,PT_DIFFERENTIATION_TER_ID,0))</f>
        <v>#N/A</v>
      </c>
      <c r="AD3" s="2596"/>
      <c r="AE3" s="2596"/>
      <c r="AF3" s="2596"/>
      <c r="AG3" s="2596"/>
      <c r="AH3" s="2596"/>
      <c r="AI3" s="2596"/>
      <c r="AJ3" s="2595"/>
      <c r="AK3" s="2596"/>
      <c r="AL3" s="2596"/>
      <c r="AM3" s="2596"/>
      <c r="AN3" s="2596"/>
      <c r="AO3" s="2596"/>
      <c r="AP3" s="2597"/>
      <c r="AQ3" s="2597"/>
      <c r="AR3" s="1185" t="s">
        <v>478</v>
      </c>
      <c r="AT3" s="437"/>
      <c r="AU3" s="437" t="str">
        <f t="shared" si="0"/>
        <v>Территория действия тарифа</v>
      </c>
      <c r="AV3" s="437"/>
      <c r="AW3" s="437"/>
      <c r="AX3" s="1082">
        <v>0</v>
      </c>
    </row>
    <row r="4" spans="1:50" ht="23.25" hidden="1" customHeight="1">
      <c r="A4" s="1290"/>
      <c r="B4" s="1290"/>
      <c r="C4" s="1290"/>
      <c r="D4" s="1290"/>
      <c r="E4" s="2602"/>
      <c r="F4" s="2602"/>
      <c r="G4" s="2601">
        <v>1</v>
      </c>
      <c r="H4" s="1290"/>
      <c r="I4" s="1290"/>
      <c r="J4" s="1290"/>
      <c r="K4" s="1290"/>
      <c r="L4" s="1291"/>
      <c r="M4" s="1292"/>
      <c r="N4" s="1292"/>
      <c r="O4" s="1292"/>
      <c r="P4" s="291"/>
      <c r="Q4" s="289"/>
      <c r="R4" s="290"/>
      <c r="S4" s="1384" t="e">
        <f>INDEX(PT_DIFFERENTIATION_NUM_CS,MATCH(C4,PT_DIFFERENTIATION_CS_ID,0))</f>
        <v>#N/A</v>
      </c>
      <c r="T4" s="246" t="s">
        <v>558</v>
      </c>
      <c r="U4" s="237"/>
      <c r="V4" s="2595"/>
      <c r="W4" s="2596"/>
      <c r="X4" s="2596"/>
      <c r="Y4" s="2596"/>
      <c r="Z4" s="2596"/>
      <c r="AA4" s="2596"/>
      <c r="AB4" s="2597"/>
      <c r="AC4" s="2595" t="e">
        <f>INDEX(PT_DIFFERENTIATION_CS,MATCH(C4,PT_DIFFERENTIATION_CS_ID,0))</f>
        <v>#N/A</v>
      </c>
      <c r="AD4" s="2596"/>
      <c r="AE4" s="2596"/>
      <c r="AF4" s="2596"/>
      <c r="AG4" s="2596"/>
      <c r="AH4" s="2596"/>
      <c r="AI4" s="2596"/>
      <c r="AJ4" s="2595"/>
      <c r="AK4" s="2596"/>
      <c r="AL4" s="2596"/>
      <c r="AM4" s="2596"/>
      <c r="AN4" s="2596"/>
      <c r="AO4" s="2596"/>
      <c r="AP4" s="2597"/>
      <c r="AQ4" s="2597"/>
      <c r="AR4" s="1185" t="s">
        <v>559</v>
      </c>
      <c r="AT4" s="437"/>
      <c r="AU4" s="437" t="str">
        <f t="shared" si="0"/>
        <v>Наименование централизованной системы холодного водоснабжения</v>
      </c>
      <c r="AV4" s="437"/>
      <c r="AW4" s="437"/>
      <c r="AX4" s="1082">
        <v>0</v>
      </c>
    </row>
    <row r="5" spans="1:50" ht="23.25" hidden="1" customHeight="1">
      <c r="A5" s="1290"/>
      <c r="B5" s="1290"/>
      <c r="C5" s="1290"/>
      <c r="D5" s="1290"/>
      <c r="E5" s="2602"/>
      <c r="F5" s="2602"/>
      <c r="G5" s="2602"/>
      <c r="H5" s="2602"/>
      <c r="I5" s="2603" t="e">
        <f>S4&amp;".1"</f>
        <v>#N/A</v>
      </c>
      <c r="J5" s="1290"/>
      <c r="K5" s="1290"/>
      <c r="L5" s="1291"/>
      <c r="P5" s="2605">
        <v>1</v>
      </c>
      <c r="Q5" s="1377"/>
      <c r="R5" s="293"/>
      <c r="S5" s="1384" t="e">
        <f>$I5</f>
        <v>#N/A</v>
      </c>
      <c r="T5" s="222" t="s">
        <v>560</v>
      </c>
      <c r="U5" s="237"/>
      <c r="V5" s="2669"/>
      <c r="W5" s="2670"/>
      <c r="X5" s="2670"/>
      <c r="Y5" s="2670"/>
      <c r="Z5" s="2670"/>
      <c r="AA5" s="2670"/>
      <c r="AB5" s="2671"/>
      <c r="AC5" s="2672"/>
      <c r="AD5" s="2673"/>
      <c r="AE5" s="2673"/>
      <c r="AF5" s="2673"/>
      <c r="AG5" s="2673"/>
      <c r="AH5" s="2673"/>
      <c r="AI5" s="2673"/>
      <c r="AJ5" s="2669"/>
      <c r="AK5" s="2670"/>
      <c r="AL5" s="2670"/>
      <c r="AM5" s="2670"/>
      <c r="AN5" s="2670"/>
      <c r="AO5" s="2670"/>
      <c r="AP5" s="2671"/>
      <c r="AQ5" s="2674"/>
      <c r="AR5" s="1185" t="s">
        <v>561</v>
      </c>
      <c r="AT5" s="437"/>
      <c r="AU5" s="437" t="str">
        <f t="shared" si="0"/>
        <v>Наименование признака дифференциации</v>
      </c>
      <c r="AV5" s="437"/>
      <c r="AW5" s="437"/>
      <c r="AX5" s="1082">
        <v>0</v>
      </c>
    </row>
    <row r="6" spans="1:50" ht="23.25" hidden="1" customHeight="1">
      <c r="A6" s="1290"/>
      <c r="B6" s="1290"/>
      <c r="C6" s="1290"/>
      <c r="D6" s="1290"/>
      <c r="E6" s="2602"/>
      <c r="F6" s="2602"/>
      <c r="G6" s="2602"/>
      <c r="H6" s="2602"/>
      <c r="I6" s="2604"/>
      <c r="J6" s="2603" t="e">
        <f>I5&amp;".1"</f>
        <v>#N/A</v>
      </c>
      <c r="K6" s="1290"/>
      <c r="L6" s="1291" t="s">
        <v>486</v>
      </c>
      <c r="P6" s="2605"/>
      <c r="Q6" s="2605">
        <v>1</v>
      </c>
      <c r="R6" s="294"/>
      <c r="S6" s="1384" t="e">
        <f>$J6</f>
        <v>#N/A</v>
      </c>
      <c r="T6" s="223" t="s">
        <v>487</v>
      </c>
      <c r="U6" s="237"/>
      <c r="V6" s="2589"/>
      <c r="W6" s="2590"/>
      <c r="X6" s="2590"/>
      <c r="Y6" s="2590"/>
      <c r="Z6" s="2590"/>
      <c r="AA6" s="2590"/>
      <c r="AB6" s="2591"/>
      <c r="AC6" s="2589"/>
      <c r="AD6" s="2590"/>
      <c r="AE6" s="2590"/>
      <c r="AF6" s="2590"/>
      <c r="AG6" s="2590"/>
      <c r="AH6" s="2590"/>
      <c r="AI6" s="2590"/>
      <c r="AJ6" s="2589"/>
      <c r="AK6" s="2590"/>
      <c r="AL6" s="2590"/>
      <c r="AM6" s="2590"/>
      <c r="AN6" s="2590"/>
      <c r="AO6" s="2590"/>
      <c r="AP6" s="2591"/>
      <c r="AQ6" s="2591"/>
      <c r="AR6" s="1234" t="s">
        <v>562</v>
      </c>
      <c r="AT6" s="437"/>
      <c r="AU6" s="437" t="str">
        <f t="shared" si="0"/>
        <v>Группа потребителей</v>
      </c>
      <c r="AV6" s="437"/>
      <c r="AW6" s="437"/>
      <c r="AX6" s="1082">
        <v>0</v>
      </c>
    </row>
    <row r="7" spans="1:50" ht="23.25" hidden="1" customHeight="1">
      <c r="A7" s="1290"/>
      <c r="B7" s="1290"/>
      <c r="C7" s="1290"/>
      <c r="D7" s="1290"/>
      <c r="E7" s="2602"/>
      <c r="F7" s="2602"/>
      <c r="G7" s="2602"/>
      <c r="H7" s="2602"/>
      <c r="I7" s="2604"/>
      <c r="J7" s="2604"/>
      <c r="K7" s="2603" t="e">
        <f>J6&amp;".1"</f>
        <v>#N/A</v>
      </c>
      <c r="L7" s="1291"/>
      <c r="P7" s="2605"/>
      <c r="Q7" s="2605"/>
      <c r="R7" s="294">
        <v>1</v>
      </c>
      <c r="S7" s="1384" t="e">
        <f>$K7</f>
        <v>#N/A</v>
      </c>
      <c r="T7" s="1364"/>
      <c r="U7" s="237"/>
      <c r="V7" s="688"/>
      <c r="W7" s="688"/>
      <c r="X7" s="1184"/>
      <c r="Y7" s="2606"/>
      <c r="Z7" s="2471" t="s">
        <v>66</v>
      </c>
      <c r="AA7" s="2606"/>
      <c r="AB7" s="2471" t="s">
        <v>66</v>
      </c>
      <c r="AC7" s="688"/>
      <c r="AD7" s="688"/>
      <c r="AE7" s="1184"/>
      <c r="AF7" s="2606"/>
      <c r="AG7" s="2471" t="s">
        <v>66</v>
      </c>
      <c r="AH7" s="2608"/>
      <c r="AI7" s="2471" t="s">
        <v>66</v>
      </c>
      <c r="AJ7" s="688"/>
      <c r="AK7" s="688"/>
      <c r="AL7" s="1184"/>
      <c r="AM7" s="2606"/>
      <c r="AN7" s="2471" t="s">
        <v>66</v>
      </c>
      <c r="AO7" s="2606"/>
      <c r="AP7" s="2471" t="s">
        <v>66</v>
      </c>
      <c r="AQ7" s="1365"/>
      <c r="AR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2602"/>
      <c r="F8" s="2602"/>
      <c r="G8" s="2602"/>
      <c r="H8" s="2602"/>
      <c r="I8" s="2604"/>
      <c r="J8" s="2604"/>
      <c r="K8" s="2603"/>
      <c r="L8" s="1291"/>
      <c r="P8" s="2605"/>
      <c r="Q8" s="2605"/>
      <c r="R8" s="294"/>
      <c r="S8" s="1383"/>
      <c r="T8" s="237"/>
      <c r="U8" s="237"/>
      <c r="V8" s="262"/>
      <c r="W8" s="262"/>
      <c r="X8" s="265" t="str">
        <f>Y7&amp;"-"&amp;AA7</f>
        <v>-</v>
      </c>
      <c r="Y8" s="2607"/>
      <c r="Z8" s="2471"/>
      <c r="AA8" s="2607"/>
      <c r="AB8" s="2471"/>
      <c r="AC8" s="262"/>
      <c r="AD8" s="262"/>
      <c r="AE8" s="265" t="str">
        <f>AF7&amp;"-"&amp;AH7</f>
        <v>-</v>
      </c>
      <c r="AF8" s="2607"/>
      <c r="AG8" s="2471"/>
      <c r="AH8" s="2609"/>
      <c r="AI8" s="2471"/>
      <c r="AJ8" s="262"/>
      <c r="AK8" s="262"/>
      <c r="AL8" s="265" t="str">
        <f>AM7&amp;"-"&amp;AO7</f>
        <v>-</v>
      </c>
      <c r="AM8" s="2607"/>
      <c r="AN8" s="2471"/>
      <c r="AO8" s="2607"/>
      <c r="AP8" s="2471"/>
      <c r="AQ8" s="1366"/>
      <c r="AR8" s="2675"/>
      <c r="AT8" s="437"/>
      <c r="AU8" s="437" t="str">
        <f t="shared" si="0"/>
        <v/>
      </c>
      <c r="AV8" s="437"/>
      <c r="AW8" s="437"/>
      <c r="AX8" s="1082">
        <v>0</v>
      </c>
    </row>
    <row r="9" spans="1:50" ht="21" hidden="1" customHeight="1">
      <c r="A9" s="1290"/>
      <c r="B9" s="1290"/>
      <c r="C9" s="1290"/>
      <c r="D9" s="1290"/>
      <c r="E9" s="2602"/>
      <c r="F9" s="2602"/>
      <c r="G9" s="2602"/>
      <c r="H9" s="2602"/>
      <c r="I9" s="2604"/>
      <c r="J9" s="2603"/>
      <c r="K9" s="1290"/>
      <c r="L9" s="1291"/>
      <c r="P9" s="2605"/>
      <c r="Q9" s="2605"/>
      <c r="R9" s="293"/>
      <c r="S9" s="1205"/>
      <c r="T9" s="224" t="s">
        <v>563</v>
      </c>
      <c r="U9" s="304"/>
      <c r="V9" s="304"/>
      <c r="W9" s="304"/>
      <c r="X9" s="304"/>
      <c r="Y9" s="304"/>
      <c r="Z9" s="304"/>
      <c r="AA9" s="304"/>
      <c r="AB9" s="304"/>
      <c r="AC9" s="304"/>
      <c r="AD9" s="304"/>
      <c r="AE9" s="304"/>
      <c r="AF9" s="304"/>
      <c r="AG9" s="304"/>
      <c r="AH9" s="304"/>
      <c r="AI9" s="304"/>
      <c r="AJ9" s="2227"/>
      <c r="AK9" s="2228"/>
      <c r="AL9" s="2229"/>
      <c r="AM9" s="2230"/>
      <c r="AN9" s="2231"/>
      <c r="AO9" s="2232"/>
      <c r="AP9" s="2233"/>
      <c r="AQ9" s="304"/>
      <c r="AR9" s="1185" t="s">
        <v>564</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2602"/>
      <c r="F10" s="2602"/>
      <c r="G10" s="2602"/>
      <c r="H10" s="2602"/>
      <c r="I10" s="2603"/>
      <c r="J10" s="1290"/>
      <c r="K10" s="1290"/>
      <c r="L10" s="1291"/>
      <c r="P10" s="2605"/>
      <c r="Q10" s="1377"/>
      <c r="R10" s="293"/>
      <c r="S10" s="1205"/>
      <c r="T10" s="302" t="s">
        <v>492</v>
      </c>
      <c r="U10" s="304"/>
      <c r="V10" s="304"/>
      <c r="W10" s="304"/>
      <c r="X10" s="304"/>
      <c r="Y10" s="304"/>
      <c r="Z10" s="304"/>
      <c r="AA10" s="304"/>
      <c r="AB10" s="303"/>
      <c r="AC10" s="304"/>
      <c r="AD10" s="304"/>
      <c r="AE10" s="304"/>
      <c r="AF10" s="304"/>
      <c r="AG10" s="304"/>
      <c r="AH10" s="304"/>
      <c r="AI10" s="303"/>
      <c r="AJ10" s="2234"/>
      <c r="AK10" s="2235"/>
      <c r="AL10" s="2236"/>
      <c r="AM10" s="2237"/>
      <c r="AN10" s="2238"/>
      <c r="AO10" s="2239"/>
      <c r="AP10" s="2240"/>
      <c r="AQ10" s="304"/>
      <c r="AR10" s="1367"/>
      <c r="AT10" s="437"/>
      <c r="AU10" s="437" t="str">
        <f t="shared" si="0"/>
        <v>Добавить группу потребителей</v>
      </c>
      <c r="AV10" s="437"/>
      <c r="AW10" s="437"/>
      <c r="AX10" s="1082">
        <v>0</v>
      </c>
    </row>
    <row r="11" spans="1:50"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304"/>
      <c r="X11" s="304"/>
      <c r="Y11" s="304"/>
      <c r="Z11" s="304"/>
      <c r="AA11" s="304"/>
      <c r="AB11" s="303"/>
      <c r="AC11" s="304"/>
      <c r="AD11" s="304"/>
      <c r="AE11" s="304"/>
      <c r="AF11" s="304"/>
      <c r="AG11" s="304"/>
      <c r="AH11" s="304"/>
      <c r="AI11" s="303"/>
      <c r="AJ11" s="2241"/>
      <c r="AK11" s="2242"/>
      <c r="AL11" s="2243"/>
      <c r="AM11" s="2244"/>
      <c r="AN11" s="2245"/>
      <c r="AO11" s="2246"/>
      <c r="AP11" s="2247"/>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2602"/>
      <c r="F12" s="2601"/>
      <c r="G12" s="1241"/>
      <c r="H12" s="1241"/>
      <c r="I12" s="1241"/>
      <c r="J12" s="1241"/>
      <c r="K12" s="1241"/>
      <c r="L12" s="1385"/>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1562"/>
      <c r="AX14" s="1082">
        <v>0</v>
      </c>
    </row>
    <row r="15" spans="1:50" ht="14.25" hidden="1" customHeight="1">
      <c r="AC15" s="1287"/>
      <c r="AD15" s="1287"/>
      <c r="AE15" s="1288"/>
      <c r="AF15" s="2599"/>
      <c r="AG15" s="2598" t="s">
        <v>66</v>
      </c>
      <c r="AH15" s="2599"/>
      <c r="AI15" s="2598" t="s">
        <v>66</v>
      </c>
      <c r="AJ15" s="1562"/>
      <c r="AK15" s="1562"/>
      <c r="AL15" s="1562"/>
      <c r="AM15" s="1562"/>
      <c r="AN15" s="1562"/>
      <c r="AO15" s="1562"/>
      <c r="AP15" s="1562"/>
      <c r="AX15" s="1082">
        <v>0</v>
      </c>
    </row>
    <row r="16" spans="1:50" ht="14.25" hidden="1" customHeight="1">
      <c r="AC16" s="1287"/>
      <c r="AD16" s="1287"/>
      <c r="AE16" s="265" t="str">
        <f>AF15&amp;"-"&amp;AH15</f>
        <v>-</v>
      </c>
      <c r="AF16" s="2598"/>
      <c r="AG16" s="2598"/>
      <c r="AH16" s="2598"/>
      <c r="AI16" s="2598"/>
      <c r="AJ16" s="1562"/>
      <c r="AK16" s="1562"/>
      <c r="AL16" s="1562"/>
      <c r="AM16" s="1562"/>
      <c r="AN16" s="1562"/>
      <c r="AO16" s="1562"/>
      <c r="AP16" s="1562"/>
      <c r="AX16" s="1082">
        <v>0</v>
      </c>
    </row>
    <row r="17" spans="1:50" ht="14.25" hidden="1" customHeight="1">
      <c r="AI17" s="264"/>
      <c r="AJ17" s="1562"/>
      <c r="AK17" s="1562"/>
      <c r="AL17" s="1562"/>
      <c r="AM17" s="1562"/>
      <c r="AN17" s="1562"/>
      <c r="AO17" s="1562"/>
      <c r="AP17" s="1562"/>
      <c r="AX17" s="1082">
        <v>0</v>
      </c>
    </row>
    <row r="18" spans="1:50" s="1293" customFormat="1" ht="22.5" hidden="1" customHeight="1">
      <c r="L18" s="1374"/>
      <c r="M18" s="1289"/>
      <c r="N18" s="1289"/>
      <c r="O18" s="1294" t="s">
        <v>495</v>
      </c>
      <c r="P18" s="1289"/>
      <c r="Q18" s="1298"/>
      <c r="R18" s="1298"/>
      <c r="S18" s="666"/>
      <c r="Y18" s="1294"/>
      <c r="AA18" s="1294"/>
      <c r="AF18" s="1294"/>
      <c r="AH18" s="1294"/>
      <c r="AM18" s="1294"/>
      <c r="AO18" s="1294"/>
      <c r="AS18" s="448"/>
      <c r="AT18" s="448"/>
      <c r="AU18" s="448"/>
      <c r="AV18" s="448"/>
      <c r="AW18" s="448"/>
      <c r="AX18" s="1087">
        <v>0</v>
      </c>
    </row>
    <row r="19" spans="1:50" s="1293" customFormat="1" ht="14.25" hidden="1" customHeight="1">
      <c r="L19" s="1374"/>
      <c r="M19" s="1289"/>
      <c r="N19" s="1289"/>
      <c r="O19" s="1289"/>
      <c r="P19" s="1289"/>
      <c r="Q19" s="1298"/>
      <c r="R19" s="1298"/>
      <c r="S19" s="666"/>
      <c r="AS19" s="448"/>
      <c r="AT19" s="448"/>
      <c r="AU19" s="448"/>
      <c r="AV19" s="448"/>
      <c r="AW19" s="448"/>
      <c r="AX19" s="1087">
        <v>0</v>
      </c>
    </row>
    <row r="20" spans="1:50" s="1293" customFormat="1" ht="12" hidden="1" customHeight="1">
      <c r="L20" s="1374"/>
      <c r="M20" s="1289"/>
      <c r="N20" s="1289"/>
      <c r="O20" s="1291" t="s">
        <v>496</v>
      </c>
      <c r="P20" s="1289"/>
      <c r="Q20" s="1369"/>
      <c r="R20" s="1369"/>
      <c r="S20" s="666"/>
      <c r="T20" s="1087" t="s">
        <v>497</v>
      </c>
      <c r="Z20" s="123" t="s">
        <v>498</v>
      </c>
      <c r="AB20" s="123" t="s">
        <v>499</v>
      </c>
      <c r="AC20" s="1087" t="s">
        <v>497</v>
      </c>
      <c r="AG20" s="123" t="s">
        <v>500</v>
      </c>
      <c r="AI20" s="123" t="s">
        <v>499</v>
      </c>
      <c r="AN20" s="1297" t="s">
        <v>498</v>
      </c>
      <c r="AP20" s="1297" t="s">
        <v>499</v>
      </c>
      <c r="AX20" s="1087">
        <v>0</v>
      </c>
    </row>
    <row r="21" spans="1:50" ht="14.25" hidden="1" customHeight="1">
      <c r="O21" s="1291"/>
      <c r="AJ21" s="1562"/>
      <c r="AK21" s="1562"/>
      <c r="AL21" s="1562"/>
      <c r="AM21" s="1562"/>
      <c r="AN21" s="1562"/>
      <c r="AO21" s="1562"/>
      <c r="AP21" s="1562"/>
      <c r="AX21" s="1082">
        <v>0</v>
      </c>
    </row>
    <row r="22" spans="1:50" ht="14.25" hidden="1" customHeight="1">
      <c r="O22" s="1291"/>
      <c r="AJ22" s="1562"/>
      <c r="AK22" s="1562"/>
      <c r="AL22" s="1562"/>
      <c r="AM22" s="1562"/>
      <c r="AN22" s="1562"/>
      <c r="AO22" s="1562"/>
      <c r="AP22" s="156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X23" s="1082">
        <v>14</v>
      </c>
    </row>
    <row r="24" spans="1:50" ht="14.65" customHeight="1">
      <c r="Q24" s="313"/>
      <c r="R24" s="313"/>
      <c r="S24" s="25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82"/>
      <c r="U24" s="2582"/>
      <c r="V24" s="2582"/>
      <c r="W24" s="2582"/>
      <c r="X24" s="2582"/>
      <c r="Y24" s="2582"/>
      <c r="Z24" s="2582"/>
      <c r="AA24" s="2582"/>
      <c r="AB24" s="2582"/>
      <c r="AC24" s="2582"/>
      <c r="AD24" s="2582"/>
      <c r="AE24" s="2582"/>
      <c r="AF24" s="2582"/>
      <c r="AG24" s="2582"/>
      <c r="AH24" s="2582"/>
      <c r="AI24" s="1170"/>
      <c r="AJ24" s="2004"/>
      <c r="AK24" s="2004"/>
      <c r="AL24" s="2004"/>
      <c r="AM24" s="2004"/>
      <c r="AN24" s="2004"/>
      <c r="AO24" s="2004"/>
      <c r="AP24" s="2004"/>
      <c r="AX24" s="1082">
        <v>14</v>
      </c>
    </row>
    <row r="25" spans="1:50"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J25" s="2005"/>
      <c r="AK25" s="2005"/>
      <c r="AL25" s="2005"/>
      <c r="AM25" s="2005"/>
      <c r="AN25" s="2005"/>
      <c r="AO25" s="2005"/>
      <c r="AP25" s="2005"/>
      <c r="AX25" s="1082">
        <v>14</v>
      </c>
    </row>
    <row r="26" spans="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446"/>
      <c r="AX26" s="1082">
        <v>0</v>
      </c>
    </row>
    <row r="27" spans="1:50"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63"/>
      <c r="AC27" s="2594" t="str">
        <f>IF(TITLE_NAME_OR_PR_CHANGE="",IF(TITLE_NAME_OR_PR="","",TITLE_NAME_OR_PR),TITLE_NAME_OR_PR_CHANGE)</f>
        <v>Региональная служба по тарифам Ростовской области</v>
      </c>
      <c r="AD27" s="2594"/>
      <c r="AE27" s="2594"/>
      <c r="AF27" s="2594"/>
      <c r="AG27" s="2594"/>
      <c r="AH27" s="2594"/>
      <c r="AI27" s="263"/>
      <c r="AJ27" s="2594" t="str">
        <f>IF(TITLE_NAME_OR_PR_CHANGE="",IF(TITLE_NAME_OR_PR="","",TITLE_NAME_OR_PR),TITLE_NAME_OR_PR_CHANGE)</f>
        <v>Региональная служба по тарифам Ростовской области</v>
      </c>
      <c r="AK27" s="2594"/>
      <c r="AL27" s="2594"/>
      <c r="AM27" s="2594"/>
      <c r="AN27" s="2594"/>
      <c r="AO27" s="2594"/>
      <c r="AP27" s="1562"/>
      <c r="AQ27" s="263"/>
      <c r="AR27" s="217"/>
      <c r="AS27" s="305"/>
      <c r="AT27" s="305"/>
      <c r="AU27" s="305"/>
      <c r="AV27" s="305"/>
      <c r="AW27" s="305"/>
      <c r="AX27" s="355">
        <v>0</v>
      </c>
    </row>
    <row r="28" spans="1:50"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63"/>
      <c r="AC28" s="2593">
        <f>IF(TITLE_DATE_PR_CHANGE="",IF(TITLE_DATE_PR="","",TITLE_DATE_PR),TITLE_DATE_PR_CHANGE)</f>
        <v>45596.468541666669</v>
      </c>
      <c r="AD28" s="2593"/>
      <c r="AE28" s="2593"/>
      <c r="AF28" s="2593"/>
      <c r="AG28" s="2593"/>
      <c r="AH28" s="2593"/>
      <c r="AI28" s="263"/>
      <c r="AJ28" s="2593">
        <f>IF(TITLE_DATE_PR_CHANGE="",IF(TITLE_DATE_PR="","",TITLE_DATE_PR),TITLE_DATE_PR_CHANGE)</f>
        <v>45596.468541666669</v>
      </c>
      <c r="AK28" s="2593"/>
      <c r="AL28" s="2593"/>
      <c r="AM28" s="2593"/>
      <c r="AN28" s="2593"/>
      <c r="AO28" s="2593"/>
      <c r="AP28" s="1562"/>
      <c r="AQ28" s="263"/>
      <c r="AR28" s="217"/>
      <c r="AS28" s="305"/>
      <c r="AT28" s="305"/>
      <c r="AU28" s="305"/>
      <c r="AV28" s="305"/>
      <c r="AW28" s="305"/>
      <c r="AX28" s="355">
        <v>0</v>
      </c>
    </row>
    <row r="29" spans="1:50"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63"/>
      <c r="AC29" s="2594" t="str">
        <f>IF(TITLE_NUMBER_PR_CHANGE="",IF(TITLE_NUMBER_PR="","",TITLE_NUMBER_PR),TITLE_NUMBER_PR_CHANGE)</f>
        <v>440,503</v>
      </c>
      <c r="AD29" s="2594"/>
      <c r="AE29" s="2594"/>
      <c r="AF29" s="2594"/>
      <c r="AG29" s="2594"/>
      <c r="AH29" s="2594"/>
      <c r="AI29" s="263"/>
      <c r="AJ29" s="2594" t="str">
        <f>IF(TITLE_NUMBER_PR_CHANGE="",IF(TITLE_NUMBER_PR="","",TITLE_NUMBER_PR),TITLE_NUMBER_PR_CHANGE)</f>
        <v>440,503</v>
      </c>
      <c r="AK29" s="2594"/>
      <c r="AL29" s="2594"/>
      <c r="AM29" s="2594"/>
      <c r="AN29" s="2594"/>
      <c r="AO29" s="2594"/>
      <c r="AP29" s="1562"/>
      <c r="AQ29" s="263"/>
      <c r="AR29" s="217"/>
      <c r="AS29" s="305"/>
      <c r="AT29" s="305"/>
      <c r="AU29" s="305"/>
      <c r="AV29" s="305"/>
      <c r="AW29" s="305"/>
      <c r="AX29" s="355">
        <v>0</v>
      </c>
    </row>
    <row r="30" spans="1:50"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63"/>
      <c r="AC30" s="2594" t="str">
        <f>IF(TITLE_IST_PUB_CHANGE="",IF(TITLE_IST_PUB="","",TITLE_IST_PUB),TITLE_IST_PUB_CHANGE)</f>
        <v>Региональная служба по тарифам Ростовской области</v>
      </c>
      <c r="AD30" s="2594"/>
      <c r="AE30" s="2594"/>
      <c r="AF30" s="2594"/>
      <c r="AG30" s="2594"/>
      <c r="AH30" s="2594"/>
      <c r="AI30" s="263"/>
      <c r="AJ30" s="2594" t="str">
        <f>IF(TITLE_IST_PUB_CHANGE="",IF(TITLE_IST_PUB="","",TITLE_IST_PUB),TITLE_IST_PUB_CHANGE)</f>
        <v>Региональная служба по тарифам Ростовской области</v>
      </c>
      <c r="AK30" s="2594"/>
      <c r="AL30" s="2594"/>
      <c r="AM30" s="2594"/>
      <c r="AN30" s="2594"/>
      <c r="AO30" s="2594"/>
      <c r="AP30" s="1562"/>
      <c r="AQ30" s="263"/>
      <c r="AR30" s="217"/>
      <c r="AS30" s="305"/>
      <c r="AT30" s="305"/>
      <c r="AU30" s="305"/>
      <c r="AV30" s="305"/>
      <c r="AW30" s="305"/>
      <c r="AX30" s="355">
        <v>0</v>
      </c>
    </row>
    <row r="31" spans="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446"/>
      <c r="AX31" s="1082">
        <v>0</v>
      </c>
    </row>
    <row r="32" spans="1:50"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63"/>
      <c r="AC32" s="2593">
        <f>IF(TITLE_DATE_PR_CHANGE="",IF(TITLE_DATE_PR="","",TITLE_DATE_PR),TITLE_DATE_PR_CHANGE)</f>
        <v>45596.468541666669</v>
      </c>
      <c r="AD32" s="2593"/>
      <c r="AE32" s="2593"/>
      <c r="AF32" s="2593"/>
      <c r="AG32" s="2593"/>
      <c r="AH32" s="2593"/>
      <c r="AI32" s="263"/>
      <c r="AJ32" s="2593">
        <f>IF(TITLE_DATE_PR_CHANGE="",IF(TITLE_DATE_PR="","",TITLE_DATE_PR),TITLE_DATE_PR_CHANGE)</f>
        <v>45596.468541666669</v>
      </c>
      <c r="AK32" s="2593"/>
      <c r="AL32" s="2593"/>
      <c r="AM32" s="2593"/>
      <c r="AN32" s="2593"/>
      <c r="AO32" s="2593"/>
      <c r="AP32" s="1562"/>
      <c r="AQ32" s="263"/>
      <c r="AR32" s="217"/>
      <c r="AS32" s="305"/>
      <c r="AT32" s="305"/>
      <c r="AU32" s="305"/>
      <c r="AV32" s="305"/>
      <c r="AW32" s="305"/>
      <c r="AX32" s="355">
        <v>0</v>
      </c>
    </row>
    <row r="33" spans="1:50"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63"/>
      <c r="AC33" s="2594" t="str">
        <f>IF(TITLE_NUMBER_PR_CHANGE="",IF(TITLE_NUMBER_PR="","",TITLE_NUMBER_PR),TITLE_NUMBER_PR_CHANGE)</f>
        <v>440,503</v>
      </c>
      <c r="AD33" s="2594"/>
      <c r="AE33" s="2594"/>
      <c r="AF33" s="2594"/>
      <c r="AG33" s="2594"/>
      <c r="AH33" s="2594"/>
      <c r="AI33" s="263"/>
      <c r="AJ33" s="2594" t="str">
        <f>IF(TITLE_NUMBER_PR_CHANGE="",IF(TITLE_NUMBER_PR="","",TITLE_NUMBER_PR),TITLE_NUMBER_PR_CHANGE)</f>
        <v>440,503</v>
      </c>
      <c r="AK33" s="2594"/>
      <c r="AL33" s="2594"/>
      <c r="AM33" s="2594"/>
      <c r="AN33" s="2594"/>
      <c r="AO33" s="2594"/>
      <c r="AP33" s="1562"/>
      <c r="AQ33" s="263"/>
      <c r="AR33" s="217"/>
      <c r="AS33" s="305"/>
      <c r="AT33" s="305"/>
      <c r="AU33" s="305"/>
      <c r="AV33" s="305"/>
      <c r="AW33" s="305"/>
      <c r="AX33" s="355">
        <v>0</v>
      </c>
    </row>
    <row r="34" spans="1:50"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505</v>
      </c>
      <c r="AC34" s="263"/>
      <c r="AD34" s="263"/>
      <c r="AE34" s="263"/>
      <c r="AF34" s="263"/>
      <c r="AG34" s="263"/>
      <c r="AH34" s="263"/>
      <c r="AI34" s="215" t="s">
        <v>505</v>
      </c>
      <c r="AJ34" s="1562"/>
      <c r="AK34" s="1562"/>
      <c r="AL34" s="1562"/>
      <c r="AM34" s="1562"/>
      <c r="AN34" s="1562"/>
      <c r="AO34" s="1562"/>
      <c r="AP34" s="1569" t="s">
        <v>505</v>
      </c>
      <c r="AS34" s="305"/>
      <c r="AT34" s="305"/>
      <c r="AU34" s="305"/>
      <c r="AV34" s="305"/>
      <c r="AW34" s="305"/>
      <c r="AX34" s="355">
        <v>1</v>
      </c>
    </row>
    <row r="35" spans="1:50" ht="14.65" customHeight="1">
      <c r="Q35" s="313"/>
      <c r="R35" s="313"/>
      <c r="S35" s="1202"/>
      <c r="T35" s="300"/>
      <c r="U35" s="1171"/>
      <c r="V35" s="2613"/>
      <c r="W35" s="2613"/>
      <c r="X35" s="2613"/>
      <c r="Y35" s="2613"/>
      <c r="Z35" s="2613"/>
      <c r="AA35" s="2613"/>
      <c r="AB35" s="2613"/>
      <c r="AC35" s="2613"/>
      <c r="AD35" s="2613"/>
      <c r="AE35" s="2613"/>
      <c r="AF35" s="2613"/>
      <c r="AG35" s="2613"/>
      <c r="AH35" s="2613"/>
      <c r="AI35" s="2613"/>
      <c r="AJ35" s="2613" t="s">
        <v>103</v>
      </c>
      <c r="AK35" s="2613"/>
      <c r="AL35" s="2613"/>
      <c r="AM35" s="2613"/>
      <c r="AN35" s="2613"/>
      <c r="AO35" s="2613"/>
      <c r="AP35" s="2613"/>
      <c r="AX35" s="1082">
        <v>14</v>
      </c>
    </row>
    <row r="36" spans="1:50"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t="s">
        <v>380</v>
      </c>
      <c r="AK36" s="2461"/>
      <c r="AL36" s="2461"/>
      <c r="AM36" s="2461"/>
      <c r="AN36" s="2461"/>
      <c r="AO36" s="2461"/>
      <c r="AP36" s="2461"/>
      <c r="AQ36" s="2461"/>
      <c r="AR36" s="2461"/>
      <c r="AX36" s="1082"/>
    </row>
    <row r="37" spans="1:50" ht="14.65" customHeight="1">
      <c r="Q37" s="313"/>
      <c r="R37" s="313"/>
      <c r="S37" s="2614" t="s">
        <v>88</v>
      </c>
      <c r="T37" s="2563" t="s">
        <v>506</v>
      </c>
      <c r="U37" s="238"/>
      <c r="V37" s="2615" t="s">
        <v>507</v>
      </c>
      <c r="W37" s="2616"/>
      <c r="X37" s="2616"/>
      <c r="Y37" s="2616"/>
      <c r="Z37" s="2616"/>
      <c r="AA37" s="2617"/>
      <c r="AB37" s="2618" t="s">
        <v>508</v>
      </c>
      <c r="AC37" s="2615" t="s">
        <v>507</v>
      </c>
      <c r="AD37" s="2616"/>
      <c r="AE37" s="2616"/>
      <c r="AF37" s="2616"/>
      <c r="AG37" s="2616"/>
      <c r="AH37" s="2617"/>
      <c r="AI37" s="2618" t="s">
        <v>509</v>
      </c>
      <c r="AJ37" s="2615" t="s">
        <v>507</v>
      </c>
      <c r="AK37" s="2616"/>
      <c r="AL37" s="2616"/>
      <c r="AM37" s="2616"/>
      <c r="AN37" s="2616"/>
      <c r="AO37" s="2617"/>
      <c r="AP37" s="2618" t="s">
        <v>508</v>
      </c>
      <c r="AQ37" s="2621" t="s">
        <v>510</v>
      </c>
      <c r="AR37" s="2461"/>
      <c r="AX37" s="1082">
        <v>14</v>
      </c>
    </row>
    <row r="38" spans="1:50" ht="35.65" customHeight="1">
      <c r="Q38" s="313"/>
      <c r="R38" s="313"/>
      <c r="S38" s="2614"/>
      <c r="T38" s="2563"/>
      <c r="U38" s="961"/>
      <c r="V38" s="1379" t="s">
        <v>566</v>
      </c>
      <c r="W38" s="2442" t="s">
        <v>513</v>
      </c>
      <c r="X38" s="2441"/>
      <c r="Y38" s="2442" t="s">
        <v>514</v>
      </c>
      <c r="Z38" s="2448"/>
      <c r="AA38" s="2441"/>
      <c r="AB38" s="2619"/>
      <c r="AC38" s="1379" t="s">
        <v>566</v>
      </c>
      <c r="AD38" s="2442" t="s">
        <v>513</v>
      </c>
      <c r="AE38" s="2441"/>
      <c r="AF38" s="2442" t="s">
        <v>514</v>
      </c>
      <c r="AG38" s="2448"/>
      <c r="AH38" s="2441"/>
      <c r="AI38" s="2619"/>
      <c r="AJ38" s="2006" t="s">
        <v>566</v>
      </c>
      <c r="AK38" s="2442" t="s">
        <v>513</v>
      </c>
      <c r="AL38" s="2441"/>
      <c r="AM38" s="2442" t="s">
        <v>514</v>
      </c>
      <c r="AN38" s="2448"/>
      <c r="AO38" s="2441"/>
      <c r="AP38" s="2619"/>
      <c r="AQ38" s="2622"/>
      <c r="AR38" s="2461"/>
      <c r="AX38" s="1082">
        <v>34</v>
      </c>
    </row>
    <row r="39" spans="1:50" ht="35.65" customHeight="1">
      <c r="A39" s="1297"/>
      <c r="B39" s="1297" t="s">
        <v>201</v>
      </c>
      <c r="C39" s="1297" t="s">
        <v>202</v>
      </c>
      <c r="D39" s="1297" t="s">
        <v>203</v>
      </c>
      <c r="E39" s="1291" t="s">
        <v>515</v>
      </c>
      <c r="F39" s="1291" t="s">
        <v>516</v>
      </c>
      <c r="G39" s="1291" t="s">
        <v>517</v>
      </c>
      <c r="H39" s="1291"/>
      <c r="I39" s="1291" t="s">
        <v>567</v>
      </c>
      <c r="J39" s="1291" t="s">
        <v>520</v>
      </c>
      <c r="K39" s="1291" t="s">
        <v>568</v>
      </c>
      <c r="L39" s="1291" t="s">
        <v>496</v>
      </c>
      <c r="Q39" s="313"/>
      <c r="R39" s="313"/>
      <c r="S39" s="2614"/>
      <c r="T39" s="2563"/>
      <c r="U39" s="239"/>
      <c r="V39" s="1379" t="s">
        <v>569</v>
      </c>
      <c r="W39" s="1149" t="s">
        <v>570</v>
      </c>
      <c r="X39" s="1149" t="s">
        <v>571</v>
      </c>
      <c r="Y39" s="1382" t="s">
        <v>524</v>
      </c>
      <c r="Z39" s="2568" t="s">
        <v>525</v>
      </c>
      <c r="AA39" s="2581"/>
      <c r="AB39" s="2620"/>
      <c r="AC39" s="1379" t="s">
        <v>569</v>
      </c>
      <c r="AD39" s="1149" t="s">
        <v>570</v>
      </c>
      <c r="AE39" s="1149" t="s">
        <v>571</v>
      </c>
      <c r="AF39" s="1382" t="s">
        <v>524</v>
      </c>
      <c r="AG39" s="2568" t="s">
        <v>525</v>
      </c>
      <c r="AH39" s="2581"/>
      <c r="AI39" s="2620"/>
      <c r="AJ39" s="2006" t="s">
        <v>569</v>
      </c>
      <c r="AK39" s="2021" t="s">
        <v>570</v>
      </c>
      <c r="AL39" s="2021" t="s">
        <v>571</v>
      </c>
      <c r="AM39" s="2021" t="s">
        <v>524</v>
      </c>
      <c r="AN39" s="2568" t="s">
        <v>525</v>
      </c>
      <c r="AO39" s="2581"/>
      <c r="AP39" s="2620"/>
      <c r="AQ39" s="2623"/>
      <c r="AR39" s="2461"/>
      <c r="AX39" s="1082">
        <v>34</v>
      </c>
    </row>
    <row r="40" spans="1:50"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177</v>
      </c>
      <c r="T40" s="1182" t="s">
        <v>102</v>
      </c>
      <c r="U40" s="1172" t="str">
        <f ca="1">OFFSET(U40,0,-1)</f>
        <v>2</v>
      </c>
      <c r="V40" s="1378">
        <f ca="1">OFFSET(V40,0,-1)+1</f>
        <v>3</v>
      </c>
      <c r="W40" s="1378">
        <f ca="1">OFFSET(W40,0,-1)+1</f>
        <v>4</v>
      </c>
      <c r="X40" s="1378">
        <f ca="1">OFFSET(X40,0,-1)+1</f>
        <v>5</v>
      </c>
      <c r="Y40" s="1378">
        <f ca="1">OFFSET(Y40,0,-1)+1</f>
        <v>6</v>
      </c>
      <c r="Z40" s="2612">
        <f ca="1">OFFSET(Z40,0,-1)+1</f>
        <v>7</v>
      </c>
      <c r="AA40" s="2612"/>
      <c r="AB40" s="1378">
        <f ca="1">OFFSET(AB40,0,-2)+1</f>
        <v>8</v>
      </c>
      <c r="AC40" s="1378">
        <f ca="1">OFFSET(AC40,0,-1)+1</f>
        <v>9</v>
      </c>
      <c r="AD40" s="1378">
        <f ca="1">OFFSET(AD40,0,-1)+1</f>
        <v>10</v>
      </c>
      <c r="AE40" s="1378">
        <f ca="1">OFFSET(AE40,0,-1)+1</f>
        <v>11</v>
      </c>
      <c r="AF40" s="1378">
        <f ca="1">OFFSET(AF40,0,-1)+1</f>
        <v>12</v>
      </c>
      <c r="AG40" s="2612">
        <f ca="1">OFFSET(AG40,0,-1)+1</f>
        <v>13</v>
      </c>
      <c r="AH40" s="2612"/>
      <c r="AI40" s="1378">
        <f ca="1">OFFSET(AI40,0,-2)+1</f>
        <v>14</v>
      </c>
      <c r="AJ40" s="2007">
        <f ca="1">OFFSET(AJ40,0,-1)+1</f>
        <v>15</v>
      </c>
      <c r="AK40" s="2007">
        <f ca="1">OFFSET(AK40,0,-1)+1</f>
        <v>16</v>
      </c>
      <c r="AL40" s="2007">
        <f ca="1">OFFSET(AL40,0,-1)+1</f>
        <v>17</v>
      </c>
      <c r="AM40" s="2007">
        <f ca="1">OFFSET(AM40,0,-1)+1</f>
        <v>18</v>
      </c>
      <c r="AN40" s="2612">
        <f ca="1">OFFSET(AN40,0,-1)+1</f>
        <v>19</v>
      </c>
      <c r="AO40" s="2612"/>
      <c r="AP40" s="2007">
        <f ca="1">OFFSET(AP40,0,-2)+1</f>
        <v>20</v>
      </c>
      <c r="AQ40" s="1172">
        <f ca="1">OFFSET(AQ40,0,-1)</f>
        <v>20</v>
      </c>
      <c r="AR40" s="1378">
        <f ca="1">OFFSET(AR40,0,-1)+1</f>
        <v>21</v>
      </c>
      <c r="AS40" s="448"/>
      <c r="AT40" s="448"/>
      <c r="AU40" s="448"/>
      <c r="AV40" s="448"/>
      <c r="AW40" s="448"/>
      <c r="AX40" s="433">
        <v>0</v>
      </c>
    </row>
    <row r="41" spans="1:50" ht="24" customHeight="1">
      <c r="A41" s="1290" t="s">
        <v>305</v>
      </c>
      <c r="B41" s="1290"/>
      <c r="C41" s="1290"/>
      <c r="D41" s="1290"/>
      <c r="E41" s="2601">
        <v>1</v>
      </c>
      <c r="F41" s="1290"/>
      <c r="G41" s="1290"/>
      <c r="H41" s="1290"/>
      <c r="I41" s="1290"/>
      <c r="J41" s="1290"/>
      <c r="K41" s="1290"/>
      <c r="L41" s="1291"/>
      <c r="M41" s="1292"/>
      <c r="N41" s="1292"/>
      <c r="O41" s="1292"/>
      <c r="P41" s="298"/>
      <c r="Q41" s="297"/>
      <c r="R41" s="292"/>
      <c r="S41" s="1384">
        <f>INDEX(PT_DIFFERENTIATION_NUM_NTAR,MATCH(A41,PT_DIFFERENTIATION_NTAR_ID,0))</f>
        <v>1</v>
      </c>
      <c r="T41" s="235" t="s">
        <v>189</v>
      </c>
      <c r="U41" s="237"/>
      <c r="V41" s="2595"/>
      <c r="W41" s="2596"/>
      <c r="X41" s="2596"/>
      <c r="Y41" s="2596"/>
      <c r="Z41" s="2596"/>
      <c r="AA41" s="2596"/>
      <c r="AB41" s="2597"/>
      <c r="AC41" s="2595" t="str">
        <f>INDEX(PT_DIFFERENTIATION_NTAR,MATCH(A41,PT_DIFFERENTIATION_NTAR_ID,0))</f>
        <v>Тариф на холодное водоснабжение (техническая)</v>
      </c>
      <c r="AD41" s="2596"/>
      <c r="AE41" s="2596"/>
      <c r="AF41" s="2596"/>
      <c r="AG41" s="2596"/>
      <c r="AH41" s="2596"/>
      <c r="AI41" s="2596"/>
      <c r="AJ41" s="2595"/>
      <c r="AK41" s="2596"/>
      <c r="AL41" s="2596"/>
      <c r="AM41" s="2596"/>
      <c r="AN41" s="2596"/>
      <c r="AO41" s="2596"/>
      <c r="AP41" s="2597"/>
      <c r="AQ41" s="2597"/>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73" si="1">IF(T41="","",T41)</f>
        <v>Наименование тарифа</v>
      </c>
      <c r="AV41" s="437"/>
      <c r="AW41" s="437"/>
      <c r="AX41" s="1082">
        <v>23</v>
      </c>
    </row>
    <row r="42" spans="1:50" ht="24" customHeight="1">
      <c r="A42" s="1290" t="s">
        <v>305</v>
      </c>
      <c r="B42" s="1290" t="s">
        <v>306</v>
      </c>
      <c r="C42" s="1290"/>
      <c r="D42" s="1290"/>
      <c r="E42" s="2602"/>
      <c r="F42" s="2601">
        <v>1</v>
      </c>
      <c r="G42" s="1290"/>
      <c r="H42" s="1290"/>
      <c r="I42" s="1290"/>
      <c r="J42" s="1290"/>
      <c r="K42" s="1290"/>
      <c r="L42" s="1291"/>
      <c r="M42" s="1292"/>
      <c r="N42" s="1292"/>
      <c r="O42" s="1292"/>
      <c r="P42" s="1380"/>
      <c r="Q42" s="289"/>
      <c r="R42" s="290"/>
      <c r="S42" s="1384" t="str">
        <f>INDEX(PT_DIFFERENTIATION_NUM_TER,MATCH(B42,PT_DIFFERENTIATION_TER_ID,0))</f>
        <v>1.1</v>
      </c>
      <c r="T42" s="245" t="s">
        <v>477</v>
      </c>
      <c r="U42" s="237"/>
      <c r="V42" s="2595"/>
      <c r="W42" s="2596"/>
      <c r="X42" s="2596"/>
      <c r="Y42" s="2596"/>
      <c r="Z42" s="2596"/>
      <c r="AA42" s="2596"/>
      <c r="AB42" s="2597"/>
      <c r="AC42" s="2595" t="str">
        <f>INDEX(PT_DIFFERENTIATION_TER,MATCH(B42,PT_DIFFERENTIATION_TER_ID,0))</f>
        <v>Территория 5</v>
      </c>
      <c r="AD42" s="2596"/>
      <c r="AE42" s="2596"/>
      <c r="AF42" s="2596"/>
      <c r="AG42" s="2596"/>
      <c r="AH42" s="2596"/>
      <c r="AI42" s="2596"/>
      <c r="AJ42" s="2595"/>
      <c r="AK42" s="2596"/>
      <c r="AL42" s="2596"/>
      <c r="AM42" s="2596"/>
      <c r="AN42" s="2596"/>
      <c r="AO42" s="2596"/>
      <c r="AP42" s="2597"/>
      <c r="AQ42" s="2597"/>
      <c r="AR42" s="1185" t="s">
        <v>478</v>
      </c>
      <c r="AT42" s="437"/>
      <c r="AU42" s="437" t="str">
        <f t="shared" si="1"/>
        <v>Территория действия тарифа</v>
      </c>
      <c r="AV42" s="437"/>
      <c r="AW42" s="437"/>
      <c r="AX42" s="1082">
        <v>23</v>
      </c>
    </row>
    <row r="43" spans="1:50" ht="24" customHeight="1">
      <c r="A43" s="1290" t="s">
        <v>305</v>
      </c>
      <c r="B43" s="1290" t="s">
        <v>306</v>
      </c>
      <c r="C43" s="1290" t="s">
        <v>307</v>
      </c>
      <c r="D43" s="1290"/>
      <c r="E43" s="2602"/>
      <c r="F43" s="2602"/>
      <c r="G43" s="2601">
        <v>1</v>
      </c>
      <c r="H43" s="1290"/>
      <c r="I43" s="1290"/>
      <c r="J43" s="1290"/>
      <c r="K43" s="1290"/>
      <c r="L43" s="1291"/>
      <c r="M43" s="1292"/>
      <c r="N43" s="1292"/>
      <c r="O43" s="1292"/>
      <c r="P43" s="291"/>
      <c r="Q43" s="289"/>
      <c r="R43" s="290"/>
      <c r="S43" s="1384" t="str">
        <f>INDEX(PT_DIFFERENTIATION_NUM_CS,MATCH(C43,PT_DIFFERENTIATION_CS_ID,0))</f>
        <v>1.1.1</v>
      </c>
      <c r="T43" s="246" t="s">
        <v>558</v>
      </c>
      <c r="U43" s="237"/>
      <c r="V43" s="2595"/>
      <c r="W43" s="2596"/>
      <c r="X43" s="2596"/>
      <c r="Y43" s="2596"/>
      <c r="Z43" s="2596"/>
      <c r="AA43" s="2596"/>
      <c r="AB43" s="2597"/>
      <c r="AC43" s="2595" t="str">
        <f>INDEX(PT_DIFFERENTIATION_CS,MATCH(C43,PT_DIFFERENTIATION_CS_ID,0))</f>
        <v>без дифференциации</v>
      </c>
      <c r="AD43" s="2596"/>
      <c r="AE43" s="2596"/>
      <c r="AF43" s="2596"/>
      <c r="AG43" s="2596"/>
      <c r="AH43" s="2596"/>
      <c r="AI43" s="2596"/>
      <c r="AJ43" s="2595"/>
      <c r="AK43" s="2596"/>
      <c r="AL43" s="2596"/>
      <c r="AM43" s="2596"/>
      <c r="AN43" s="2596"/>
      <c r="AO43" s="2596"/>
      <c r="AP43" s="2597"/>
      <c r="AQ43" s="2597"/>
      <c r="AR43" s="1185" t="s">
        <v>559</v>
      </c>
      <c r="AT43" s="437"/>
      <c r="AU43" s="437" t="str">
        <f t="shared" si="1"/>
        <v>Наименование централизованной системы холодного водоснабжения</v>
      </c>
      <c r="AV43" s="437"/>
      <c r="AW43" s="437"/>
      <c r="AX43" s="1082">
        <v>23</v>
      </c>
    </row>
    <row r="44" spans="1:50" ht="24" customHeight="1">
      <c r="A44" s="1290" t="s">
        <v>305</v>
      </c>
      <c r="B44" s="1290" t="s">
        <v>306</v>
      </c>
      <c r="C44" s="1290" t="s">
        <v>307</v>
      </c>
      <c r="D44" s="1290" t="s">
        <v>575</v>
      </c>
      <c r="E44" s="2602"/>
      <c r="F44" s="2602"/>
      <c r="G44" s="2602"/>
      <c r="H44" s="2602"/>
      <c r="I44" s="2603" t="str">
        <f>S43&amp;".1"</f>
        <v>1.1.1.1</v>
      </c>
      <c r="J44" s="1290"/>
      <c r="K44" s="1290"/>
      <c r="L44" s="1291"/>
      <c r="P44" s="2605">
        <v>1</v>
      </c>
      <c r="Q44" s="1377"/>
      <c r="R44" s="293"/>
      <c r="S44" s="1384" t="str">
        <f>$I44</f>
        <v>1.1.1.1</v>
      </c>
      <c r="T44" s="222" t="s">
        <v>560</v>
      </c>
      <c r="U44" s="237"/>
      <c r="V44" s="2669"/>
      <c r="W44" s="2670"/>
      <c r="X44" s="2670"/>
      <c r="Y44" s="2670"/>
      <c r="Z44" s="2670"/>
      <c r="AA44" s="2670"/>
      <c r="AB44" s="2671"/>
      <c r="AC44" s="2672" t="s">
        <v>573</v>
      </c>
      <c r="AD44" s="2673"/>
      <c r="AE44" s="2673"/>
      <c r="AF44" s="2673"/>
      <c r="AG44" s="2673"/>
      <c r="AH44" s="2673"/>
      <c r="AI44" s="2673"/>
      <c r="AJ44" s="2669"/>
      <c r="AK44" s="2670"/>
      <c r="AL44" s="2670"/>
      <c r="AM44" s="2670"/>
      <c r="AN44" s="2670"/>
      <c r="AO44" s="2670"/>
      <c r="AP44" s="2671"/>
      <c r="AQ44" s="2674"/>
      <c r="AR44" s="1185" t="s">
        <v>561</v>
      </c>
      <c r="AT44" s="437"/>
      <c r="AU44" s="437" t="str">
        <f t="shared" si="1"/>
        <v>Наименование признака дифференциации</v>
      </c>
      <c r="AV44" s="437"/>
      <c r="AW44" s="437"/>
      <c r="AX44" s="1082">
        <v>23</v>
      </c>
    </row>
    <row r="45" spans="1:50" ht="24" customHeight="1">
      <c r="A45" s="1290" t="s">
        <v>305</v>
      </c>
      <c r="B45" s="1290" t="s">
        <v>306</v>
      </c>
      <c r="C45" s="1290" t="s">
        <v>307</v>
      </c>
      <c r="D45" s="1290" t="s">
        <v>575</v>
      </c>
      <c r="E45" s="2602"/>
      <c r="F45" s="2602"/>
      <c r="G45" s="2602"/>
      <c r="H45" s="2602"/>
      <c r="I45" s="2604"/>
      <c r="J45" s="2603" t="str">
        <f>I44&amp;".1"</f>
        <v>1.1.1.1.1</v>
      </c>
      <c r="K45" s="1290"/>
      <c r="L45" s="1291" t="s">
        <v>486</v>
      </c>
      <c r="P45" s="2605"/>
      <c r="Q45" s="2605">
        <v>1</v>
      </c>
      <c r="R45" s="294"/>
      <c r="S45" s="1384" t="str">
        <f>$J45</f>
        <v>1.1.1.1.1</v>
      </c>
      <c r="T45" s="223" t="s">
        <v>487</v>
      </c>
      <c r="U45" s="237"/>
      <c r="V45" s="2589"/>
      <c r="W45" s="2590"/>
      <c r="X45" s="2590"/>
      <c r="Y45" s="2590"/>
      <c r="Z45" s="2590"/>
      <c r="AA45" s="2590"/>
      <c r="AB45" s="2591"/>
      <c r="AC45" s="2589" t="s">
        <v>573</v>
      </c>
      <c r="AD45" s="2590"/>
      <c r="AE45" s="2590"/>
      <c r="AF45" s="2590"/>
      <c r="AG45" s="2590"/>
      <c r="AH45" s="2590"/>
      <c r="AI45" s="2590"/>
      <c r="AJ45" s="2589"/>
      <c r="AK45" s="2590"/>
      <c r="AL45" s="2590"/>
      <c r="AM45" s="2590"/>
      <c r="AN45" s="2590"/>
      <c r="AO45" s="2590"/>
      <c r="AP45" s="2591"/>
      <c r="AQ45" s="2591"/>
      <c r="AR45" s="1234" t="s">
        <v>562</v>
      </c>
      <c r="AT45" s="437"/>
      <c r="AU45" s="437" t="str">
        <f t="shared" si="1"/>
        <v>Группа потребителей</v>
      </c>
      <c r="AV45" s="437"/>
      <c r="AW45" s="437"/>
      <c r="AX45" s="1082">
        <v>23</v>
      </c>
    </row>
    <row r="46" spans="1:50" ht="24" customHeight="1">
      <c r="A46" s="1290" t="s">
        <v>305</v>
      </c>
      <c r="B46" s="1290" t="s">
        <v>306</v>
      </c>
      <c r="C46" s="1290" t="s">
        <v>307</v>
      </c>
      <c r="D46" s="1290" t="s">
        <v>575</v>
      </c>
      <c r="E46" s="2602"/>
      <c r="F46" s="2602"/>
      <c r="G46" s="2602"/>
      <c r="H46" s="2602"/>
      <c r="I46" s="2604"/>
      <c r="J46" s="2604"/>
      <c r="K46" s="2603" t="str">
        <f>J45&amp;".1"</f>
        <v>1.1.1.1.1.1</v>
      </c>
      <c r="L46" s="1291"/>
      <c r="P46" s="2605"/>
      <c r="Q46" s="2605"/>
      <c r="R46" s="294">
        <v>1</v>
      </c>
      <c r="S46" s="1384" t="str">
        <f>$K46</f>
        <v>1.1.1.1.1.1</v>
      </c>
      <c r="T46" s="1364" t="s">
        <v>574</v>
      </c>
      <c r="U46" s="237"/>
      <c r="V46" s="688"/>
      <c r="W46" s="688"/>
      <c r="X46" s="1184"/>
      <c r="Y46" s="2606"/>
      <c r="Z46" s="2471" t="s">
        <v>66</v>
      </c>
      <c r="AA46" s="2606"/>
      <c r="AB46" s="2471" t="s">
        <v>66</v>
      </c>
      <c r="AC46" s="688">
        <v>97.91</v>
      </c>
      <c r="AD46" s="688"/>
      <c r="AE46" s="1184"/>
      <c r="AF46" s="2606">
        <v>45658.50439814815</v>
      </c>
      <c r="AG46" s="2471" t="s">
        <v>66</v>
      </c>
      <c r="AH46" s="2608">
        <v>45838.50445601852</v>
      </c>
      <c r="AI46" s="2471" t="s">
        <v>66</v>
      </c>
      <c r="AJ46" s="688">
        <v>126.84</v>
      </c>
      <c r="AK46" s="688"/>
      <c r="AL46" s="1184"/>
      <c r="AM46" s="2606">
        <v>45839.504606481481</v>
      </c>
      <c r="AN46" s="2471" t="s">
        <v>66</v>
      </c>
      <c r="AO46" s="2606">
        <v>46022.504687499997</v>
      </c>
      <c r="AP46" s="2471" t="s">
        <v>66</v>
      </c>
      <c r="AQ46" s="1365"/>
      <c r="AR4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Тариф (руб./куб.м без НДС)</v>
      </c>
      <c r="AV46" s="437"/>
      <c r="AW46" s="437"/>
      <c r="AX46" s="1082">
        <v>23</v>
      </c>
    </row>
    <row r="47" spans="1:50" ht="0" hidden="1" customHeight="1">
      <c r="A47" s="1290" t="s">
        <v>305</v>
      </c>
      <c r="B47" s="1290" t="s">
        <v>306</v>
      </c>
      <c r="C47" s="1290" t="s">
        <v>307</v>
      </c>
      <c r="D47" s="1290" t="s">
        <v>575</v>
      </c>
      <c r="E47" s="2602"/>
      <c r="F47" s="2602"/>
      <c r="G47" s="2602"/>
      <c r="H47" s="2602"/>
      <c r="I47" s="2604"/>
      <c r="J47" s="2604"/>
      <c r="K47" s="2603"/>
      <c r="L47" s="1291"/>
      <c r="P47" s="2605"/>
      <c r="Q47" s="2605"/>
      <c r="R47" s="294"/>
      <c r="S47" s="1383"/>
      <c r="T47" s="237"/>
      <c r="U47" s="237"/>
      <c r="V47" s="262"/>
      <c r="W47" s="262"/>
      <c r="X47" s="265" t="str">
        <f>Y46&amp;"-"&amp;AA46</f>
        <v>-</v>
      </c>
      <c r="Y47" s="2607"/>
      <c r="Z47" s="2471"/>
      <c r="AA47" s="2607"/>
      <c r="AB47" s="2471"/>
      <c r="AC47" s="262"/>
      <c r="AD47" s="262"/>
      <c r="AE47" s="265" t="str">
        <f>AF46&amp;"-"&amp;AH46</f>
        <v>45658,5043981482-45838,5044560185</v>
      </c>
      <c r="AF47" s="2607"/>
      <c r="AG47" s="2471"/>
      <c r="AH47" s="2609"/>
      <c r="AI47" s="2471"/>
      <c r="AJ47" s="262"/>
      <c r="AK47" s="262"/>
      <c r="AL47" s="265" t="str">
        <f>AM46&amp;"-"&amp;AO46</f>
        <v>45839,5046064815-46022,5046875</v>
      </c>
      <c r="AM47" s="2607"/>
      <c r="AN47" s="2471"/>
      <c r="AO47" s="2607"/>
      <c r="AP47" s="2471"/>
      <c r="AQ47" s="1366"/>
      <c r="AR47" s="2675"/>
      <c r="AT47" s="437"/>
      <c r="AU47" s="437" t="str">
        <f t="shared" si="1"/>
        <v/>
      </c>
      <c r="AV47" s="437"/>
      <c r="AW47" s="437"/>
      <c r="AX47" s="1082">
        <v>0</v>
      </c>
    </row>
    <row r="48" spans="1:50" ht="21" customHeight="1">
      <c r="A48" s="1290" t="s">
        <v>305</v>
      </c>
      <c r="B48" s="1290" t="s">
        <v>306</v>
      </c>
      <c r="C48" s="1290" t="s">
        <v>307</v>
      </c>
      <c r="D48" s="1290" t="s">
        <v>575</v>
      </c>
      <c r="E48" s="2602"/>
      <c r="F48" s="2602"/>
      <c r="G48" s="2602"/>
      <c r="H48" s="2602"/>
      <c r="I48" s="2604"/>
      <c r="J48" s="2603"/>
      <c r="K48" s="1290"/>
      <c r="L48" s="1291"/>
      <c r="P48" s="2605"/>
      <c r="Q48" s="2605"/>
      <c r="R48" s="293"/>
      <c r="S48" s="1205"/>
      <c r="T48" s="224" t="s">
        <v>563</v>
      </c>
      <c r="U48" s="304"/>
      <c r="V48" s="304"/>
      <c r="W48" s="304"/>
      <c r="X48" s="304"/>
      <c r="Y48" s="304"/>
      <c r="Z48" s="304"/>
      <c r="AA48" s="304"/>
      <c r="AB48" s="304"/>
      <c r="AC48" s="304"/>
      <c r="AD48" s="304"/>
      <c r="AE48" s="304"/>
      <c r="AF48" s="304"/>
      <c r="AG48" s="304"/>
      <c r="AH48" s="304"/>
      <c r="AI48" s="304"/>
      <c r="AJ48" s="2248"/>
      <c r="AK48" s="2249"/>
      <c r="AL48" s="2250"/>
      <c r="AM48" s="2251"/>
      <c r="AN48" s="2252"/>
      <c r="AO48" s="2253"/>
      <c r="AP48" s="2254"/>
      <c r="AQ48" s="304"/>
      <c r="AR48" s="1185" t="s">
        <v>564</v>
      </c>
      <c r="AT48" s="437"/>
      <c r="AU48" s="437" t="str">
        <f t="shared" si="1"/>
        <v>Добавить значение признака дифференциации</v>
      </c>
      <c r="AV48" s="437"/>
      <c r="AW48" s="437"/>
      <c r="AX48" s="1082">
        <v>20</v>
      </c>
    </row>
    <row r="49" spans="1:50" ht="21.95" customHeight="1">
      <c r="A49" s="1290" t="s">
        <v>305</v>
      </c>
      <c r="B49" s="1290" t="s">
        <v>306</v>
      </c>
      <c r="C49" s="1290" t="s">
        <v>307</v>
      </c>
      <c r="D49" s="1290" t="s">
        <v>575</v>
      </c>
      <c r="E49" s="2602"/>
      <c r="F49" s="2602"/>
      <c r="G49" s="2602"/>
      <c r="H49" s="2602"/>
      <c r="I49" s="2603"/>
      <c r="J49" s="1290"/>
      <c r="K49" s="1290"/>
      <c r="L49" s="1291"/>
      <c r="P49" s="2605"/>
      <c r="Q49" s="1377"/>
      <c r="R49" s="293"/>
      <c r="S49" s="1205"/>
      <c r="T49" s="302" t="s">
        <v>492</v>
      </c>
      <c r="U49" s="304"/>
      <c r="V49" s="304"/>
      <c r="W49" s="304"/>
      <c r="X49" s="304"/>
      <c r="Y49" s="304"/>
      <c r="Z49" s="304"/>
      <c r="AA49" s="304"/>
      <c r="AB49" s="303"/>
      <c r="AC49" s="304"/>
      <c r="AD49" s="304"/>
      <c r="AE49" s="304"/>
      <c r="AF49" s="304"/>
      <c r="AG49" s="304"/>
      <c r="AH49" s="304"/>
      <c r="AI49" s="303"/>
      <c r="AJ49" s="2255"/>
      <c r="AK49" s="2256"/>
      <c r="AL49" s="2257"/>
      <c r="AM49" s="2258"/>
      <c r="AN49" s="2259"/>
      <c r="AO49" s="2260"/>
      <c r="AP49" s="2261"/>
      <c r="AQ49" s="304"/>
      <c r="AR49" s="1367"/>
      <c r="AT49" s="437"/>
      <c r="AU49" s="437" t="str">
        <f t="shared" si="1"/>
        <v>Добавить группу потребителей</v>
      </c>
      <c r="AV49" s="437"/>
      <c r="AW49" s="437"/>
      <c r="AX49" s="1082">
        <v>21</v>
      </c>
    </row>
    <row r="50" spans="1:50" ht="21.95" customHeight="1">
      <c r="A50" s="1290" t="s">
        <v>305</v>
      </c>
      <c r="B50" s="1290" t="s">
        <v>306</v>
      </c>
      <c r="C50" s="1290" t="s">
        <v>307</v>
      </c>
      <c r="D50" s="1290" t="s">
        <v>575</v>
      </c>
      <c r="E50" s="2602"/>
      <c r="F50" s="2602"/>
      <c r="G50" s="2602"/>
      <c r="H50" s="2601"/>
      <c r="I50" s="1290"/>
      <c r="J50" s="1290"/>
      <c r="K50" s="1290"/>
      <c r="L50" s="1291"/>
      <c r="M50" s="1292"/>
      <c r="N50" s="1292"/>
      <c r="O50" s="474"/>
      <c r="P50" s="297"/>
      <c r="Q50" s="312"/>
      <c r="R50" s="292"/>
      <c r="S50" s="1205"/>
      <c r="T50" s="309" t="s">
        <v>565</v>
      </c>
      <c r="U50" s="304"/>
      <c r="V50" s="304"/>
      <c r="W50" s="304"/>
      <c r="X50" s="304"/>
      <c r="Y50" s="304"/>
      <c r="Z50" s="304"/>
      <c r="AA50" s="304"/>
      <c r="AB50" s="303"/>
      <c r="AC50" s="304"/>
      <c r="AD50" s="304"/>
      <c r="AE50" s="304"/>
      <c r="AF50" s="304"/>
      <c r="AG50" s="304"/>
      <c r="AH50" s="304"/>
      <c r="AI50" s="303"/>
      <c r="AJ50" s="2262"/>
      <c r="AK50" s="2263"/>
      <c r="AL50" s="2264"/>
      <c r="AM50" s="2265"/>
      <c r="AN50" s="2266"/>
      <c r="AO50" s="2267"/>
      <c r="AP50" s="2268"/>
      <c r="AQ50" s="304"/>
      <c r="AR50" s="240"/>
      <c r="AT50" s="437"/>
      <c r="AU50" s="437" t="str">
        <f t="shared" si="1"/>
        <v>Добавить наименование признака дифференциации</v>
      </c>
      <c r="AV50" s="437"/>
      <c r="AW50" s="437"/>
      <c r="AX50" s="1082">
        <v>21</v>
      </c>
    </row>
    <row r="51" spans="1:50" s="1569" customFormat="1" ht="0" hidden="1" customHeight="1">
      <c r="A51" s="1270" t="s">
        <v>305</v>
      </c>
      <c r="B51" s="1270" t="s">
        <v>306</v>
      </c>
      <c r="C51" s="1241"/>
      <c r="D51" s="1241"/>
      <c r="E51" s="2602"/>
      <c r="F51" s="2601"/>
      <c r="G51" s="1241"/>
      <c r="H51" s="1241"/>
      <c r="I51" s="1241"/>
      <c r="J51" s="1241"/>
      <c r="K51" s="1241"/>
      <c r="L51" s="1385"/>
      <c r="M51" s="1248"/>
      <c r="N51" s="1248"/>
      <c r="P51" s="1243"/>
      <c r="Q51" s="1244"/>
      <c r="R51" s="1243"/>
      <c r="S51" s="1249"/>
      <c r="T51" s="1252" t="s">
        <v>295</v>
      </c>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T51" s="720"/>
      <c r="AU51" s="720" t="str">
        <f t="shared" si="1"/>
        <v>Добавить централизованную систему для дифференциации</v>
      </c>
      <c r="AV51" s="720"/>
      <c r="AW51" s="720"/>
      <c r="AX51" s="455">
        <v>0</v>
      </c>
    </row>
    <row r="52" spans="1:50" s="1776" customFormat="1" ht="23.25" customHeight="1">
      <c r="A52" s="1290"/>
      <c r="B52" s="1290" t="s">
        <v>308</v>
      </c>
      <c r="C52" s="1290"/>
      <c r="D52" s="1290"/>
      <c r="E52" s="2602"/>
      <c r="F52" s="2601" t="s">
        <v>102</v>
      </c>
      <c r="G52" s="1290"/>
      <c r="H52" s="1290"/>
      <c r="I52" s="1290"/>
      <c r="J52" s="1290"/>
      <c r="K52" s="1290"/>
      <c r="L52" s="1296"/>
      <c r="M52" s="1292"/>
      <c r="N52" s="1292"/>
      <c r="O52" s="1292"/>
      <c r="P52" s="2001"/>
      <c r="Q52" s="289"/>
      <c r="R52" s="290"/>
      <c r="S52" s="2008" t="str">
        <f>INDEX(PT_DIFFERENTIATION_NUM_TER,MATCH(B52,PT_DIFFERENTIATION_TER_ID,0))</f>
        <v>1.2</v>
      </c>
      <c r="T52" s="1449" t="s">
        <v>477</v>
      </c>
      <c r="U52" s="237"/>
      <c r="V52" s="2595"/>
      <c r="W52" s="2596"/>
      <c r="X52" s="2596"/>
      <c r="Y52" s="2596"/>
      <c r="Z52" s="2596"/>
      <c r="AA52" s="2596"/>
      <c r="AB52" s="2597"/>
      <c r="AC52" s="2595" t="str">
        <f>INDEX(PT_DIFFERENTIATION_TER,MATCH(B52,PT_DIFFERENTIATION_TER_ID,0))</f>
        <v>Территория 2</v>
      </c>
      <c r="AD52" s="2596"/>
      <c r="AE52" s="2596"/>
      <c r="AF52" s="2596"/>
      <c r="AG52" s="2596"/>
      <c r="AH52" s="2596"/>
      <c r="AI52" s="2596"/>
      <c r="AJ52" s="2595"/>
      <c r="AK52" s="2596"/>
      <c r="AL52" s="2596"/>
      <c r="AM52" s="2596"/>
      <c r="AN52" s="2596"/>
      <c r="AO52" s="2596"/>
      <c r="AP52" s="2597"/>
      <c r="AQ52" s="2597"/>
      <c r="AR52" s="1185" t="s">
        <v>478</v>
      </c>
      <c r="AS52" s="1569"/>
      <c r="AT52" s="1551"/>
      <c r="AU52" s="1551" t="str">
        <f t="shared" si="1"/>
        <v>Территория действия тарифа</v>
      </c>
      <c r="AV52" s="1551"/>
      <c r="AW52" s="1551"/>
      <c r="AX52" s="1562">
        <v>0</v>
      </c>
    </row>
    <row r="53" spans="1:50" s="1776" customFormat="1" ht="23.25" customHeight="1">
      <c r="A53" s="1290"/>
      <c r="B53" s="1290"/>
      <c r="C53" s="1290" t="s">
        <v>309</v>
      </c>
      <c r="D53" s="1290"/>
      <c r="E53" s="2602"/>
      <c r="F53" s="2602">
        <v>1</v>
      </c>
      <c r="G53" s="2601">
        <v>1</v>
      </c>
      <c r="H53" s="1290"/>
      <c r="I53" s="1290"/>
      <c r="J53" s="1290"/>
      <c r="K53" s="1290"/>
      <c r="L53" s="1296"/>
      <c r="M53" s="1292"/>
      <c r="N53" s="1292"/>
      <c r="O53" s="1292"/>
      <c r="P53" s="291"/>
      <c r="Q53" s="289"/>
      <c r="R53" s="290"/>
      <c r="S53" s="2008" t="str">
        <f>INDEX(PT_DIFFERENTIATION_NUM_CS,MATCH(C53,PT_DIFFERENTIATION_CS_ID,0))</f>
        <v>1.2.1</v>
      </c>
      <c r="T53" s="246" t="s">
        <v>558</v>
      </c>
      <c r="U53" s="237"/>
      <c r="V53" s="2595"/>
      <c r="W53" s="2596"/>
      <c r="X53" s="2596"/>
      <c r="Y53" s="2596"/>
      <c r="Z53" s="2596"/>
      <c r="AA53" s="2596"/>
      <c r="AB53" s="2597"/>
      <c r="AC53" s="2595" t="str">
        <f>INDEX(PT_DIFFERENTIATION_CS,MATCH(C53,PT_DIFFERENTIATION_CS_ID,0))</f>
        <v>без дифференциации</v>
      </c>
      <c r="AD53" s="2596"/>
      <c r="AE53" s="2596"/>
      <c r="AF53" s="2596"/>
      <c r="AG53" s="2596"/>
      <c r="AH53" s="2596"/>
      <c r="AI53" s="2596"/>
      <c r="AJ53" s="2595"/>
      <c r="AK53" s="2596"/>
      <c r="AL53" s="2596"/>
      <c r="AM53" s="2596"/>
      <c r="AN53" s="2596"/>
      <c r="AO53" s="2596"/>
      <c r="AP53" s="2597"/>
      <c r="AQ53" s="2597"/>
      <c r="AR53" s="1185" t="s">
        <v>559</v>
      </c>
      <c r="AS53" s="1569"/>
      <c r="AT53" s="1551"/>
      <c r="AU53" s="1551" t="str">
        <f t="shared" si="1"/>
        <v>Наименование централизованной системы холодного водоснабжения</v>
      </c>
      <c r="AV53" s="1551"/>
      <c r="AW53" s="1551"/>
      <c r="AX53" s="1562">
        <v>0</v>
      </c>
    </row>
    <row r="54" spans="1:50" s="1776" customFormat="1" ht="23.25" customHeight="1">
      <c r="A54" s="1290"/>
      <c r="B54" s="1290"/>
      <c r="C54" s="1290"/>
      <c r="D54" s="1290"/>
      <c r="E54" s="2602"/>
      <c r="F54" s="2602">
        <v>1</v>
      </c>
      <c r="G54" s="2602"/>
      <c r="H54" s="2602"/>
      <c r="I54" s="2603" t="str">
        <f>S53&amp;".1"</f>
        <v>1.2.1.1</v>
      </c>
      <c r="J54" s="1290"/>
      <c r="K54" s="1290"/>
      <c r="L54" s="1296"/>
      <c r="M54" s="1703"/>
      <c r="N54" s="1703"/>
      <c r="O54" s="1703"/>
      <c r="P54" s="2605">
        <v>1</v>
      </c>
      <c r="Q54" s="2016"/>
      <c r="R54" s="293"/>
      <c r="S54" s="2008" t="str">
        <f>$I54</f>
        <v>1.2.1.1</v>
      </c>
      <c r="T54" s="222" t="s">
        <v>560</v>
      </c>
      <c r="U54" s="237"/>
      <c r="V54" s="2669"/>
      <c r="W54" s="2670"/>
      <c r="X54" s="2670"/>
      <c r="Y54" s="2670"/>
      <c r="Z54" s="2670"/>
      <c r="AA54" s="2670"/>
      <c r="AB54" s="2671"/>
      <c r="AC54" s="2672" t="s">
        <v>573</v>
      </c>
      <c r="AD54" s="2673"/>
      <c r="AE54" s="2673"/>
      <c r="AF54" s="2673"/>
      <c r="AG54" s="2673"/>
      <c r="AH54" s="2673"/>
      <c r="AI54" s="2673"/>
      <c r="AJ54" s="2669"/>
      <c r="AK54" s="2670"/>
      <c r="AL54" s="2670"/>
      <c r="AM54" s="2670"/>
      <c r="AN54" s="2670"/>
      <c r="AO54" s="2670"/>
      <c r="AP54" s="2671"/>
      <c r="AQ54" s="2674"/>
      <c r="AR54" s="1185" t="s">
        <v>561</v>
      </c>
      <c r="AS54" s="1569"/>
      <c r="AT54" s="1551"/>
      <c r="AU54" s="1551" t="str">
        <f t="shared" si="1"/>
        <v>Наименование признака дифференциации</v>
      </c>
      <c r="AV54" s="1551"/>
      <c r="AW54" s="1551"/>
      <c r="AX54" s="1562">
        <v>0</v>
      </c>
    </row>
    <row r="55" spans="1:50" s="1776" customFormat="1" ht="23.25" customHeight="1">
      <c r="A55" s="1290"/>
      <c r="B55" s="1290"/>
      <c r="C55" s="1290"/>
      <c r="D55" s="1290"/>
      <c r="E55" s="2602"/>
      <c r="F55" s="2602">
        <v>1</v>
      </c>
      <c r="G55" s="2602"/>
      <c r="H55" s="2602"/>
      <c r="I55" s="2604"/>
      <c r="J55" s="2603" t="str">
        <f>I54&amp;".1"</f>
        <v>1.2.1.1.1</v>
      </c>
      <c r="K55" s="1290"/>
      <c r="L55" s="1296" t="s">
        <v>486</v>
      </c>
      <c r="M55" s="1703"/>
      <c r="N55" s="1703"/>
      <c r="O55" s="1703"/>
      <c r="P55" s="2605"/>
      <c r="Q55" s="2605">
        <v>1</v>
      </c>
      <c r="R55" s="294"/>
      <c r="S55" s="2008" t="str">
        <f>$J55</f>
        <v>1.2.1.1.1</v>
      </c>
      <c r="T55" s="223" t="s">
        <v>487</v>
      </c>
      <c r="U55" s="237"/>
      <c r="V55" s="2589"/>
      <c r="W55" s="2590"/>
      <c r="X55" s="2590"/>
      <c r="Y55" s="2590"/>
      <c r="Z55" s="2590"/>
      <c r="AA55" s="2590"/>
      <c r="AB55" s="2591"/>
      <c r="AC55" s="2589" t="s">
        <v>573</v>
      </c>
      <c r="AD55" s="2590"/>
      <c r="AE55" s="2590"/>
      <c r="AF55" s="2590"/>
      <c r="AG55" s="2590"/>
      <c r="AH55" s="2590"/>
      <c r="AI55" s="2590"/>
      <c r="AJ55" s="2589"/>
      <c r="AK55" s="2590"/>
      <c r="AL55" s="2590"/>
      <c r="AM55" s="2590"/>
      <c r="AN55" s="2590"/>
      <c r="AO55" s="2590"/>
      <c r="AP55" s="2591"/>
      <c r="AQ55" s="2591"/>
      <c r="AR55" s="1234" t="s">
        <v>562</v>
      </c>
      <c r="AS55" s="1569"/>
      <c r="AT55" s="1551"/>
      <c r="AU55" s="1551" t="str">
        <f t="shared" si="1"/>
        <v>Группа потребителей</v>
      </c>
      <c r="AV55" s="1551"/>
      <c r="AW55" s="1551"/>
      <c r="AX55" s="1562">
        <v>0</v>
      </c>
    </row>
    <row r="56" spans="1:50" s="1776" customFormat="1" ht="23.25" customHeight="1">
      <c r="A56" s="1290"/>
      <c r="B56" s="1290"/>
      <c r="C56" s="1290"/>
      <c r="D56" s="1290"/>
      <c r="E56" s="2602"/>
      <c r="F56" s="2602">
        <v>1</v>
      </c>
      <c r="G56" s="2602"/>
      <c r="H56" s="2602"/>
      <c r="I56" s="2604"/>
      <c r="J56" s="2604"/>
      <c r="K56" s="2603" t="str">
        <f>J55&amp;".1"</f>
        <v>1.2.1.1.1.1</v>
      </c>
      <c r="L56" s="1296"/>
      <c r="M56" s="1703"/>
      <c r="N56" s="1703"/>
      <c r="O56" s="1703"/>
      <c r="P56" s="2605"/>
      <c r="Q56" s="2605"/>
      <c r="R56" s="294">
        <v>1</v>
      </c>
      <c r="S56" s="2008" t="str">
        <f>$K56</f>
        <v>1.2.1.1.1.1</v>
      </c>
      <c r="T56" s="1364" t="s">
        <v>574</v>
      </c>
      <c r="U56" s="237"/>
      <c r="V56" s="688"/>
      <c r="W56" s="688"/>
      <c r="X56" s="1184"/>
      <c r="Y56" s="2606"/>
      <c r="Z56" s="2471" t="s">
        <v>66</v>
      </c>
      <c r="AA56" s="2606"/>
      <c r="AB56" s="2471" t="s">
        <v>66</v>
      </c>
      <c r="AC56" s="688">
        <v>221.37</v>
      </c>
      <c r="AD56" s="688"/>
      <c r="AE56" s="1184"/>
      <c r="AF56" s="2606">
        <v>45658.505289351851</v>
      </c>
      <c r="AG56" s="2471" t="s">
        <v>66</v>
      </c>
      <c r="AH56" s="2608">
        <v>45838.505347222221</v>
      </c>
      <c r="AI56" s="2471" t="s">
        <v>66</v>
      </c>
      <c r="AJ56" s="688">
        <v>247.71</v>
      </c>
      <c r="AK56" s="688"/>
      <c r="AL56" s="1184"/>
      <c r="AM56" s="2606">
        <v>45839.505428240744</v>
      </c>
      <c r="AN56" s="2471" t="s">
        <v>66</v>
      </c>
      <c r="AO56" s="2606">
        <v>46022.505497685182</v>
      </c>
      <c r="AP56" s="2471" t="s">
        <v>66</v>
      </c>
      <c r="AQ56" s="1365"/>
      <c r="AR5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6" s="1569" t="e">
        <f ca="1">STRCHECKDATE(V57:AQ57)</f>
        <v>#NAME?</v>
      </c>
      <c r="AT56" s="1551"/>
      <c r="AU56" s="1551" t="str">
        <f t="shared" si="1"/>
        <v>Тариф (руб./куб.м без НДС)</v>
      </c>
      <c r="AV56" s="1551"/>
      <c r="AW56" s="1551"/>
      <c r="AX56" s="1562">
        <v>0</v>
      </c>
    </row>
    <row r="57" spans="1:50" s="1776" customFormat="1" ht="14.25" customHeight="1">
      <c r="A57" s="1290"/>
      <c r="B57" s="1290"/>
      <c r="C57" s="1290"/>
      <c r="D57" s="1290"/>
      <c r="E57" s="2602"/>
      <c r="F57" s="2602">
        <v>1</v>
      </c>
      <c r="G57" s="2602"/>
      <c r="H57" s="2602"/>
      <c r="I57" s="2604"/>
      <c r="J57" s="2604"/>
      <c r="K57" s="2603"/>
      <c r="L57" s="1296"/>
      <c r="M57" s="1703"/>
      <c r="N57" s="1703"/>
      <c r="O57" s="1703"/>
      <c r="P57" s="2605"/>
      <c r="Q57" s="2605"/>
      <c r="R57" s="294"/>
      <c r="S57" s="2020"/>
      <c r="T57" s="237"/>
      <c r="U57" s="237"/>
      <c r="V57" s="262"/>
      <c r="W57" s="262"/>
      <c r="X57" s="265" t="str">
        <f>Y56&amp;"-"&amp;AA56</f>
        <v>-</v>
      </c>
      <c r="Y57" s="2607"/>
      <c r="Z57" s="2471"/>
      <c r="AA57" s="2607"/>
      <c r="AB57" s="2471"/>
      <c r="AC57" s="262"/>
      <c r="AD57" s="262"/>
      <c r="AE57" s="265" t="str">
        <f>AF56&amp;"-"&amp;AH56</f>
        <v>45658,5052893519-45838,5053472222</v>
      </c>
      <c r="AF57" s="2607"/>
      <c r="AG57" s="2471"/>
      <c r="AH57" s="2609"/>
      <c r="AI57" s="2471"/>
      <c r="AJ57" s="262"/>
      <c r="AK57" s="262"/>
      <c r="AL57" s="265" t="str">
        <f>AM56&amp;"-"&amp;AO56</f>
        <v>45839,5054282407-46022,5054976852</v>
      </c>
      <c r="AM57" s="2607"/>
      <c r="AN57" s="2471"/>
      <c r="AO57" s="2607"/>
      <c r="AP57" s="2471"/>
      <c r="AQ57" s="1366"/>
      <c r="AR57" s="2675"/>
      <c r="AS57" s="1569"/>
      <c r="AT57" s="1551"/>
      <c r="AU57" s="1551" t="str">
        <f t="shared" si="1"/>
        <v/>
      </c>
      <c r="AV57" s="1551"/>
      <c r="AW57" s="1551"/>
      <c r="AX57" s="1562">
        <v>0</v>
      </c>
    </row>
    <row r="58" spans="1:50" s="1776" customFormat="1" ht="21" customHeight="1">
      <c r="A58" s="1290"/>
      <c r="B58" s="1290"/>
      <c r="C58" s="1290"/>
      <c r="D58" s="1290"/>
      <c r="E58" s="2602"/>
      <c r="F58" s="2602">
        <v>1</v>
      </c>
      <c r="G58" s="2602"/>
      <c r="H58" s="2602"/>
      <c r="I58" s="2604"/>
      <c r="J58" s="2603"/>
      <c r="K58" s="1290"/>
      <c r="L58" s="1296"/>
      <c r="M58" s="1703"/>
      <c r="N58" s="1703"/>
      <c r="O58" s="1703"/>
      <c r="P58" s="2605"/>
      <c r="Q58" s="2605"/>
      <c r="R58" s="293"/>
      <c r="S58" s="2269"/>
      <c r="T58" s="2270" t="s">
        <v>563</v>
      </c>
      <c r="U58" s="2271"/>
      <c r="V58" s="2272"/>
      <c r="W58" s="2273"/>
      <c r="X58" s="2274"/>
      <c r="Y58" s="2275"/>
      <c r="Z58" s="2276"/>
      <c r="AA58" s="2277"/>
      <c r="AB58" s="2278"/>
      <c r="AC58" s="2279"/>
      <c r="AD58" s="2280"/>
      <c r="AE58" s="2281"/>
      <c r="AF58" s="2282"/>
      <c r="AG58" s="2283"/>
      <c r="AH58" s="2284"/>
      <c r="AI58" s="2285"/>
      <c r="AJ58" s="2286"/>
      <c r="AK58" s="2287"/>
      <c r="AL58" s="2288"/>
      <c r="AM58" s="2289"/>
      <c r="AN58" s="2290"/>
      <c r="AO58" s="2291"/>
      <c r="AP58" s="2292"/>
      <c r="AQ58" s="2293"/>
      <c r="AR58" s="1185" t="s">
        <v>564</v>
      </c>
      <c r="AS58" s="1569"/>
      <c r="AT58" s="1551"/>
      <c r="AU58" s="1551" t="str">
        <f t="shared" si="1"/>
        <v>Добавить значение признака дифференциации</v>
      </c>
      <c r="AV58" s="1551"/>
      <c r="AW58" s="1551"/>
      <c r="AX58" s="1562">
        <v>0</v>
      </c>
    </row>
    <row r="59" spans="1:50" s="1776" customFormat="1" ht="21" customHeight="1">
      <c r="A59" s="1290"/>
      <c r="B59" s="1290"/>
      <c r="C59" s="1290"/>
      <c r="D59" s="1290"/>
      <c r="E59" s="2602"/>
      <c r="F59" s="2602">
        <v>1</v>
      </c>
      <c r="G59" s="2602"/>
      <c r="H59" s="2602"/>
      <c r="I59" s="2603"/>
      <c r="J59" s="1290"/>
      <c r="K59" s="1290"/>
      <c r="L59" s="1296"/>
      <c r="M59" s="1703"/>
      <c r="N59" s="1703"/>
      <c r="O59" s="1703"/>
      <c r="P59" s="2605"/>
      <c r="Q59" s="2016"/>
      <c r="R59" s="293"/>
      <c r="S59" s="2294"/>
      <c r="T59" s="2295" t="s">
        <v>492</v>
      </c>
      <c r="U59" s="2296"/>
      <c r="V59" s="2297"/>
      <c r="W59" s="2298"/>
      <c r="X59" s="2299"/>
      <c r="Y59" s="2300"/>
      <c r="Z59" s="2301"/>
      <c r="AA59" s="2302"/>
      <c r="AB59" s="2303"/>
      <c r="AC59" s="2304"/>
      <c r="AD59" s="2305"/>
      <c r="AE59" s="2306"/>
      <c r="AF59" s="2307"/>
      <c r="AG59" s="2308"/>
      <c r="AH59" s="2309"/>
      <c r="AI59" s="2310"/>
      <c r="AJ59" s="2311"/>
      <c r="AK59" s="2312"/>
      <c r="AL59" s="2313"/>
      <c r="AM59" s="2314"/>
      <c r="AN59" s="2315"/>
      <c r="AO59" s="2316"/>
      <c r="AP59" s="2317"/>
      <c r="AQ59" s="2318"/>
      <c r="AR59" s="2319"/>
      <c r="AS59" s="1569"/>
      <c r="AT59" s="1551"/>
      <c r="AU59" s="1551" t="str">
        <f t="shared" si="1"/>
        <v>Добавить группу потребителей</v>
      </c>
      <c r="AV59" s="1551"/>
      <c r="AW59" s="1551"/>
      <c r="AX59" s="1562">
        <v>0</v>
      </c>
    </row>
    <row r="60" spans="1:50" s="1776" customFormat="1" ht="21" customHeight="1">
      <c r="A60" s="1290"/>
      <c r="B60" s="1290"/>
      <c r="C60" s="1290"/>
      <c r="D60" s="1290"/>
      <c r="E60" s="2602"/>
      <c r="F60" s="2602">
        <v>1</v>
      </c>
      <c r="G60" s="2602"/>
      <c r="H60" s="2601"/>
      <c r="I60" s="1290"/>
      <c r="J60" s="1290"/>
      <c r="K60" s="1290"/>
      <c r="L60" s="1296"/>
      <c r="M60" s="1292"/>
      <c r="N60" s="1292"/>
      <c r="O60" s="1293"/>
      <c r="P60" s="1749"/>
      <c r="Q60" s="312"/>
      <c r="R60" s="292"/>
      <c r="S60" s="2320"/>
      <c r="T60" s="2321" t="s">
        <v>565</v>
      </c>
      <c r="U60" s="2322"/>
      <c r="V60" s="2323"/>
      <c r="W60" s="2324"/>
      <c r="X60" s="2325"/>
      <c r="Y60" s="2326"/>
      <c r="Z60" s="2327"/>
      <c r="AA60" s="2328"/>
      <c r="AB60" s="2329"/>
      <c r="AC60" s="2330"/>
      <c r="AD60" s="2331"/>
      <c r="AE60" s="2332"/>
      <c r="AF60" s="2333"/>
      <c r="AG60" s="2334"/>
      <c r="AH60" s="2335"/>
      <c r="AI60" s="2336"/>
      <c r="AJ60" s="2337"/>
      <c r="AK60" s="2338"/>
      <c r="AL60" s="2339"/>
      <c r="AM60" s="2340"/>
      <c r="AN60" s="2341"/>
      <c r="AO60" s="2342"/>
      <c r="AP60" s="2343"/>
      <c r="AQ60" s="2344"/>
      <c r="AR60" s="2345"/>
      <c r="AS60" s="1569"/>
      <c r="AT60" s="1551"/>
      <c r="AU60" s="1551" t="str">
        <f t="shared" si="1"/>
        <v>Добавить наименование признака дифференциации</v>
      </c>
      <c r="AV60" s="1551"/>
      <c r="AW60" s="1551"/>
      <c r="AX60" s="1562">
        <v>0</v>
      </c>
    </row>
    <row r="61" spans="1:50" s="559" customFormat="1" ht="14.25" customHeight="1">
      <c r="A61" s="1270"/>
      <c r="B61" s="1270"/>
      <c r="C61" s="1270"/>
      <c r="D61" s="1270"/>
      <c r="E61" s="2602"/>
      <c r="F61" s="2601">
        <v>1</v>
      </c>
      <c r="G61" s="1270"/>
      <c r="H61" s="1270"/>
      <c r="I61" s="1270"/>
      <c r="J61" s="1270"/>
      <c r="K61" s="1270"/>
      <c r="L61" s="1472"/>
      <c r="M61" s="1248"/>
      <c r="N61" s="1248"/>
      <c r="O61" s="1569"/>
      <c r="P61" s="1243"/>
      <c r="Q61" s="1271"/>
      <c r="R61" s="1243"/>
      <c r="S61" s="1249"/>
      <c r="T61" s="1252" t="s">
        <v>295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569"/>
      <c r="AT61" s="1551"/>
      <c r="AU61" s="1551" t="str">
        <f t="shared" si="1"/>
        <v>Добавить централизованную систему для дифференциации</v>
      </c>
      <c r="AV61" s="1551"/>
      <c r="AW61" s="1551"/>
      <c r="AX61" s="1569">
        <v>0</v>
      </c>
    </row>
    <row r="62" spans="1:50" s="1776" customFormat="1" ht="23.25" customHeight="1">
      <c r="A62" s="1290"/>
      <c r="B62" s="1290" t="s">
        <v>311</v>
      </c>
      <c r="C62" s="1290"/>
      <c r="D62" s="1290"/>
      <c r="E62" s="2602"/>
      <c r="F62" s="2601" t="s">
        <v>90</v>
      </c>
      <c r="G62" s="1290"/>
      <c r="H62" s="1290"/>
      <c r="I62" s="1290"/>
      <c r="J62" s="1290"/>
      <c r="K62" s="1290"/>
      <c r="L62" s="1296"/>
      <c r="M62" s="1292"/>
      <c r="N62" s="1292"/>
      <c r="O62" s="1292"/>
      <c r="P62" s="2001"/>
      <c r="Q62" s="289"/>
      <c r="R62" s="290"/>
      <c r="S62" s="2008" t="str">
        <f>INDEX(PT_DIFFERENTIATION_NUM_TER,MATCH(B62,PT_DIFFERENTIATION_TER_ID,0))</f>
        <v>1.3</v>
      </c>
      <c r="T62" s="1449" t="s">
        <v>477</v>
      </c>
      <c r="U62" s="237"/>
      <c r="V62" s="2595"/>
      <c r="W62" s="2596"/>
      <c r="X62" s="2596"/>
      <c r="Y62" s="2596"/>
      <c r="Z62" s="2596"/>
      <c r="AA62" s="2596"/>
      <c r="AB62" s="2597"/>
      <c r="AC62" s="2595" t="str">
        <f>INDEX(PT_DIFFERENTIATION_TER,MATCH(B62,PT_DIFFERENTIATION_TER_ID,0))</f>
        <v>Территория 4</v>
      </c>
      <c r="AD62" s="2596"/>
      <c r="AE62" s="2596"/>
      <c r="AF62" s="2596"/>
      <c r="AG62" s="2596"/>
      <c r="AH62" s="2596"/>
      <c r="AI62" s="2596"/>
      <c r="AJ62" s="2595"/>
      <c r="AK62" s="2596"/>
      <c r="AL62" s="2596"/>
      <c r="AM62" s="2596"/>
      <c r="AN62" s="2596"/>
      <c r="AO62" s="2596"/>
      <c r="AP62" s="2597"/>
      <c r="AQ62" s="2597"/>
      <c r="AR62" s="1185" t="s">
        <v>478</v>
      </c>
      <c r="AS62" s="1569"/>
      <c r="AT62" s="1551"/>
      <c r="AU62" s="1551" t="str">
        <f t="shared" si="1"/>
        <v>Территория действия тарифа</v>
      </c>
      <c r="AV62" s="1551"/>
      <c r="AW62" s="1551"/>
      <c r="AX62" s="1562">
        <v>0</v>
      </c>
    </row>
    <row r="63" spans="1:50" s="1776" customFormat="1" ht="23.25" customHeight="1">
      <c r="A63" s="1290"/>
      <c r="B63" s="1290"/>
      <c r="C63" s="1290" t="s">
        <v>312</v>
      </c>
      <c r="D63" s="1290"/>
      <c r="E63" s="2602"/>
      <c r="F63" s="2602" t="s">
        <v>102</v>
      </c>
      <c r="G63" s="2601">
        <v>1</v>
      </c>
      <c r="H63" s="1290"/>
      <c r="I63" s="1290"/>
      <c r="J63" s="1290"/>
      <c r="K63" s="1290"/>
      <c r="L63" s="1296"/>
      <c r="M63" s="1292"/>
      <c r="N63" s="1292"/>
      <c r="O63" s="1292"/>
      <c r="P63" s="291"/>
      <c r="Q63" s="289"/>
      <c r="R63" s="290"/>
      <c r="S63" s="2008" t="str">
        <f>INDEX(PT_DIFFERENTIATION_NUM_CS,MATCH(C63,PT_DIFFERENTIATION_CS_ID,0))</f>
        <v>1.3.1</v>
      </c>
      <c r="T63" s="246" t="s">
        <v>558</v>
      </c>
      <c r="U63" s="237"/>
      <c r="V63" s="2595"/>
      <c r="W63" s="2596"/>
      <c r="X63" s="2596"/>
      <c r="Y63" s="2596"/>
      <c r="Z63" s="2596"/>
      <c r="AA63" s="2596"/>
      <c r="AB63" s="2597"/>
      <c r="AC63" s="2595" t="str">
        <f>INDEX(PT_DIFFERENTIATION_CS,MATCH(C63,PT_DIFFERENTIATION_CS_ID,0))</f>
        <v>без дифференциации</v>
      </c>
      <c r="AD63" s="2596"/>
      <c r="AE63" s="2596"/>
      <c r="AF63" s="2596"/>
      <c r="AG63" s="2596"/>
      <c r="AH63" s="2596"/>
      <c r="AI63" s="2596"/>
      <c r="AJ63" s="2595"/>
      <c r="AK63" s="2596"/>
      <c r="AL63" s="2596"/>
      <c r="AM63" s="2596"/>
      <c r="AN63" s="2596"/>
      <c r="AO63" s="2596"/>
      <c r="AP63" s="2597"/>
      <c r="AQ63" s="2597"/>
      <c r="AR63" s="1185" t="s">
        <v>559</v>
      </c>
      <c r="AS63" s="1569"/>
      <c r="AT63" s="1551"/>
      <c r="AU63" s="1551" t="str">
        <f t="shared" si="1"/>
        <v>Наименование централизованной системы холодного водоснабжения</v>
      </c>
      <c r="AV63" s="1551"/>
      <c r="AW63" s="1551"/>
      <c r="AX63" s="1562">
        <v>0</v>
      </c>
    </row>
    <row r="64" spans="1:50" s="1776" customFormat="1" ht="23.25" customHeight="1">
      <c r="A64" s="1290"/>
      <c r="B64" s="1290"/>
      <c r="C64" s="1290"/>
      <c r="D64" s="1290"/>
      <c r="E64" s="2602"/>
      <c r="F64" s="2602" t="s">
        <v>102</v>
      </c>
      <c r="G64" s="2602"/>
      <c r="H64" s="2602"/>
      <c r="I64" s="2603" t="str">
        <f>S63&amp;".1"</f>
        <v>1.3.1.1</v>
      </c>
      <c r="J64" s="1290"/>
      <c r="K64" s="1290"/>
      <c r="L64" s="1296"/>
      <c r="M64" s="1703"/>
      <c r="N64" s="1703"/>
      <c r="O64" s="1703"/>
      <c r="P64" s="2605">
        <v>1</v>
      </c>
      <c r="Q64" s="2016"/>
      <c r="R64" s="293"/>
      <c r="S64" s="2008" t="str">
        <f>$I64</f>
        <v>1.3.1.1</v>
      </c>
      <c r="T64" s="222" t="s">
        <v>560</v>
      </c>
      <c r="U64" s="237"/>
      <c r="V64" s="2669"/>
      <c r="W64" s="2670"/>
      <c r="X64" s="2670"/>
      <c r="Y64" s="2670"/>
      <c r="Z64" s="2670"/>
      <c r="AA64" s="2670"/>
      <c r="AB64" s="2671"/>
      <c r="AC64" s="2672" t="s">
        <v>573</v>
      </c>
      <c r="AD64" s="2673"/>
      <c r="AE64" s="2673"/>
      <c r="AF64" s="2673"/>
      <c r="AG64" s="2673"/>
      <c r="AH64" s="2673"/>
      <c r="AI64" s="2673"/>
      <c r="AJ64" s="2669"/>
      <c r="AK64" s="2670"/>
      <c r="AL64" s="2670"/>
      <c r="AM64" s="2670"/>
      <c r="AN64" s="2670"/>
      <c r="AO64" s="2670"/>
      <c r="AP64" s="2671"/>
      <c r="AQ64" s="2674"/>
      <c r="AR64" s="1185" t="s">
        <v>561</v>
      </c>
      <c r="AS64" s="1569"/>
      <c r="AT64" s="1551"/>
      <c r="AU64" s="1551" t="str">
        <f t="shared" si="1"/>
        <v>Наименование признака дифференциации</v>
      </c>
      <c r="AV64" s="1551"/>
      <c r="AW64" s="1551"/>
      <c r="AX64" s="1562">
        <v>0</v>
      </c>
    </row>
    <row r="65" spans="1:50" s="1776" customFormat="1" ht="23.25" customHeight="1">
      <c r="A65" s="1290"/>
      <c r="B65" s="1290"/>
      <c r="C65" s="1290"/>
      <c r="D65" s="1290"/>
      <c r="E65" s="2602"/>
      <c r="F65" s="2602" t="s">
        <v>102</v>
      </c>
      <c r="G65" s="2602"/>
      <c r="H65" s="2602"/>
      <c r="I65" s="2604"/>
      <c r="J65" s="2603" t="str">
        <f>I64&amp;".1"</f>
        <v>1.3.1.1.1</v>
      </c>
      <c r="K65" s="1290"/>
      <c r="L65" s="1296" t="s">
        <v>486</v>
      </c>
      <c r="M65" s="1703"/>
      <c r="N65" s="1703"/>
      <c r="O65" s="1703"/>
      <c r="P65" s="2605"/>
      <c r="Q65" s="2605">
        <v>1</v>
      </c>
      <c r="R65" s="294"/>
      <c r="S65" s="2008" t="str">
        <f>$J65</f>
        <v>1.3.1.1.1</v>
      </c>
      <c r="T65" s="223" t="s">
        <v>487</v>
      </c>
      <c r="U65" s="237"/>
      <c r="V65" s="2589"/>
      <c r="W65" s="2590"/>
      <c r="X65" s="2590"/>
      <c r="Y65" s="2590"/>
      <c r="Z65" s="2590"/>
      <c r="AA65" s="2590"/>
      <c r="AB65" s="2591"/>
      <c r="AC65" s="2589" t="s">
        <v>573</v>
      </c>
      <c r="AD65" s="2590"/>
      <c r="AE65" s="2590"/>
      <c r="AF65" s="2590"/>
      <c r="AG65" s="2590"/>
      <c r="AH65" s="2590"/>
      <c r="AI65" s="2590"/>
      <c r="AJ65" s="2589"/>
      <c r="AK65" s="2590"/>
      <c r="AL65" s="2590"/>
      <c r="AM65" s="2590"/>
      <c r="AN65" s="2590"/>
      <c r="AO65" s="2590"/>
      <c r="AP65" s="2591"/>
      <c r="AQ65" s="2591"/>
      <c r="AR65" s="1234" t="s">
        <v>562</v>
      </c>
      <c r="AS65" s="1569"/>
      <c r="AT65" s="1551"/>
      <c r="AU65" s="1551" t="str">
        <f t="shared" si="1"/>
        <v>Группа потребителей</v>
      </c>
      <c r="AV65" s="1551"/>
      <c r="AW65" s="1551"/>
      <c r="AX65" s="1562">
        <v>0</v>
      </c>
    </row>
    <row r="66" spans="1:50" s="1776" customFormat="1" ht="23.25" customHeight="1">
      <c r="A66" s="1290"/>
      <c r="B66" s="1290"/>
      <c r="C66" s="1290"/>
      <c r="D66" s="1290"/>
      <c r="E66" s="2602"/>
      <c r="F66" s="2602" t="s">
        <v>102</v>
      </c>
      <c r="G66" s="2602"/>
      <c r="H66" s="2602"/>
      <c r="I66" s="2604"/>
      <c r="J66" s="2604"/>
      <c r="K66" s="2603" t="str">
        <f>J65&amp;".1"</f>
        <v>1.3.1.1.1.1</v>
      </c>
      <c r="L66" s="1296"/>
      <c r="M66" s="1703"/>
      <c r="N66" s="1703"/>
      <c r="O66" s="1703"/>
      <c r="P66" s="2605"/>
      <c r="Q66" s="2605"/>
      <c r="R66" s="294">
        <v>1</v>
      </c>
      <c r="S66" s="2008" t="str">
        <f>$K66</f>
        <v>1.3.1.1.1.1</v>
      </c>
      <c r="T66" s="1364" t="s">
        <v>574</v>
      </c>
      <c r="U66" s="237"/>
      <c r="V66" s="688"/>
      <c r="W66" s="688"/>
      <c r="X66" s="1184"/>
      <c r="Y66" s="2606"/>
      <c r="Z66" s="2471" t="s">
        <v>66</v>
      </c>
      <c r="AA66" s="2606"/>
      <c r="AB66" s="2471" t="s">
        <v>66</v>
      </c>
      <c r="AC66" s="688">
        <v>67.41</v>
      </c>
      <c r="AD66" s="688"/>
      <c r="AE66" s="1184"/>
      <c r="AF66" s="2606">
        <v>45658.506331018521</v>
      </c>
      <c r="AG66" s="2471" t="s">
        <v>66</v>
      </c>
      <c r="AH66" s="2608">
        <v>45838.506388888891</v>
      </c>
      <c r="AI66" s="2471" t="s">
        <v>66</v>
      </c>
      <c r="AJ66" s="688">
        <v>75.430000000000007</v>
      </c>
      <c r="AK66" s="688"/>
      <c r="AL66" s="1184"/>
      <c r="AM66" s="2606">
        <v>45839.506458333337</v>
      </c>
      <c r="AN66" s="2471" t="s">
        <v>66</v>
      </c>
      <c r="AO66" s="2606">
        <v>46022.506527777776</v>
      </c>
      <c r="AP66" s="2471" t="s">
        <v>66</v>
      </c>
      <c r="AQ66" s="1365"/>
      <c r="AR6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6" s="1569" t="e">
        <f ca="1">STRCHECKDATE(V67:AQ67)</f>
        <v>#NAME?</v>
      </c>
      <c r="AT66" s="1551"/>
      <c r="AU66" s="1551" t="str">
        <f t="shared" si="1"/>
        <v>Тариф (руб./куб.м без НДС)</v>
      </c>
      <c r="AV66" s="1551"/>
      <c r="AW66" s="1551"/>
      <c r="AX66" s="1562">
        <v>0</v>
      </c>
    </row>
    <row r="67" spans="1:50" s="1776" customFormat="1" ht="14.25" customHeight="1">
      <c r="A67" s="1290"/>
      <c r="B67" s="1290"/>
      <c r="C67" s="1290"/>
      <c r="D67" s="1290"/>
      <c r="E67" s="2602"/>
      <c r="F67" s="2602" t="s">
        <v>102</v>
      </c>
      <c r="G67" s="2602"/>
      <c r="H67" s="2602"/>
      <c r="I67" s="2604"/>
      <c r="J67" s="2604"/>
      <c r="K67" s="2603"/>
      <c r="L67" s="1296"/>
      <c r="M67" s="1703"/>
      <c r="N67" s="1703"/>
      <c r="O67" s="1703"/>
      <c r="P67" s="2605"/>
      <c r="Q67" s="2605"/>
      <c r="R67" s="294"/>
      <c r="S67" s="2020"/>
      <c r="T67" s="237"/>
      <c r="U67" s="237"/>
      <c r="V67" s="262"/>
      <c r="W67" s="262"/>
      <c r="X67" s="265" t="str">
        <f>Y66&amp;"-"&amp;AA66</f>
        <v>-</v>
      </c>
      <c r="Y67" s="2607"/>
      <c r="Z67" s="2471"/>
      <c r="AA67" s="2607"/>
      <c r="AB67" s="2471"/>
      <c r="AC67" s="262"/>
      <c r="AD67" s="262"/>
      <c r="AE67" s="265" t="str">
        <f>AF66&amp;"-"&amp;AH66</f>
        <v>45658,5063310185-45838,5063888889</v>
      </c>
      <c r="AF67" s="2607"/>
      <c r="AG67" s="2471"/>
      <c r="AH67" s="2609"/>
      <c r="AI67" s="2471"/>
      <c r="AJ67" s="262"/>
      <c r="AK67" s="262"/>
      <c r="AL67" s="265" t="str">
        <f>AM66&amp;"-"&amp;AO66</f>
        <v>45839,5064583333-46022,5065277778</v>
      </c>
      <c r="AM67" s="2607"/>
      <c r="AN67" s="2471"/>
      <c r="AO67" s="2607"/>
      <c r="AP67" s="2471"/>
      <c r="AQ67" s="1366"/>
      <c r="AR67" s="2675"/>
      <c r="AS67" s="1569"/>
      <c r="AT67" s="1551"/>
      <c r="AU67" s="1551" t="str">
        <f t="shared" si="1"/>
        <v/>
      </c>
      <c r="AV67" s="1551"/>
      <c r="AW67" s="1551"/>
      <c r="AX67" s="1562">
        <v>0</v>
      </c>
    </row>
    <row r="68" spans="1:50" s="1776" customFormat="1" ht="21" customHeight="1">
      <c r="A68" s="1290"/>
      <c r="B68" s="1290"/>
      <c r="C68" s="1290"/>
      <c r="D68" s="1290"/>
      <c r="E68" s="2602"/>
      <c r="F68" s="2602" t="s">
        <v>102</v>
      </c>
      <c r="G68" s="2602"/>
      <c r="H68" s="2602"/>
      <c r="I68" s="2604"/>
      <c r="J68" s="2603"/>
      <c r="K68" s="1290"/>
      <c r="L68" s="1296"/>
      <c r="M68" s="1703"/>
      <c r="N68" s="1703"/>
      <c r="O68" s="1703"/>
      <c r="P68" s="2605"/>
      <c r="Q68" s="2605"/>
      <c r="R68" s="293"/>
      <c r="S68" s="2346"/>
      <c r="T68" s="2347" t="s">
        <v>563</v>
      </c>
      <c r="U68" s="2348"/>
      <c r="V68" s="2349"/>
      <c r="W68" s="2350"/>
      <c r="X68" s="2351"/>
      <c r="Y68" s="2352"/>
      <c r="Z68" s="2353"/>
      <c r="AA68" s="2354"/>
      <c r="AB68" s="2355"/>
      <c r="AC68" s="2356"/>
      <c r="AD68" s="2357"/>
      <c r="AE68" s="2358"/>
      <c r="AF68" s="2359"/>
      <c r="AG68" s="2360"/>
      <c r="AH68" s="2361"/>
      <c r="AI68" s="2362"/>
      <c r="AJ68" s="2363"/>
      <c r="AK68" s="2364"/>
      <c r="AL68" s="2365"/>
      <c r="AM68" s="2366"/>
      <c r="AN68" s="2367"/>
      <c r="AO68" s="2368"/>
      <c r="AP68" s="2369"/>
      <c r="AQ68" s="2370"/>
      <c r="AR68" s="1185" t="s">
        <v>564</v>
      </c>
      <c r="AS68" s="1569"/>
      <c r="AT68" s="1551"/>
      <c r="AU68" s="1551" t="str">
        <f t="shared" si="1"/>
        <v>Добавить значение признака дифференциации</v>
      </c>
      <c r="AV68" s="1551"/>
      <c r="AW68" s="1551"/>
      <c r="AX68" s="1562">
        <v>0</v>
      </c>
    </row>
    <row r="69" spans="1:50" s="1776" customFormat="1" ht="21" customHeight="1">
      <c r="A69" s="1290"/>
      <c r="B69" s="1290"/>
      <c r="C69" s="1290"/>
      <c r="D69" s="1290"/>
      <c r="E69" s="2602"/>
      <c r="F69" s="2602" t="s">
        <v>102</v>
      </c>
      <c r="G69" s="2602"/>
      <c r="H69" s="2602"/>
      <c r="I69" s="2603"/>
      <c r="J69" s="1290"/>
      <c r="K69" s="1290"/>
      <c r="L69" s="1296"/>
      <c r="M69" s="1703"/>
      <c r="N69" s="1703"/>
      <c r="O69" s="1703"/>
      <c r="P69" s="2605"/>
      <c r="Q69" s="2016"/>
      <c r="R69" s="293"/>
      <c r="S69" s="2371"/>
      <c r="T69" s="2372" t="s">
        <v>492</v>
      </c>
      <c r="U69" s="2373"/>
      <c r="V69" s="2374"/>
      <c r="W69" s="2375"/>
      <c r="X69" s="2376"/>
      <c r="Y69" s="2377"/>
      <c r="Z69" s="2378"/>
      <c r="AA69" s="2379"/>
      <c r="AB69" s="2380"/>
      <c r="AC69" s="2381"/>
      <c r="AD69" s="2382"/>
      <c r="AE69" s="2383"/>
      <c r="AF69" s="2384"/>
      <c r="AG69" s="2385"/>
      <c r="AH69" s="2386"/>
      <c r="AI69" s="2387"/>
      <c r="AJ69" s="2388"/>
      <c r="AK69" s="2389"/>
      <c r="AL69" s="2390"/>
      <c r="AM69" s="2391"/>
      <c r="AN69" s="2392"/>
      <c r="AO69" s="2393"/>
      <c r="AP69" s="2394"/>
      <c r="AQ69" s="2395"/>
      <c r="AR69" s="2396"/>
      <c r="AS69" s="1569"/>
      <c r="AT69" s="1551"/>
      <c r="AU69" s="1551" t="str">
        <f t="shared" si="1"/>
        <v>Добавить группу потребителей</v>
      </c>
      <c r="AV69" s="1551"/>
      <c r="AW69" s="1551"/>
      <c r="AX69" s="1562">
        <v>0</v>
      </c>
    </row>
    <row r="70" spans="1:50" s="1776" customFormat="1" ht="21" customHeight="1">
      <c r="A70" s="1290"/>
      <c r="B70" s="1290"/>
      <c r="C70" s="1290"/>
      <c r="D70" s="1290"/>
      <c r="E70" s="2602"/>
      <c r="F70" s="2602" t="s">
        <v>102</v>
      </c>
      <c r="G70" s="2602"/>
      <c r="H70" s="2601"/>
      <c r="I70" s="1290"/>
      <c r="J70" s="1290"/>
      <c r="K70" s="1290"/>
      <c r="L70" s="1296"/>
      <c r="M70" s="1292"/>
      <c r="N70" s="1292"/>
      <c r="O70" s="1293"/>
      <c r="P70" s="1749"/>
      <c r="Q70" s="312"/>
      <c r="R70" s="292"/>
      <c r="S70" s="2397"/>
      <c r="T70" s="2398" t="s">
        <v>565</v>
      </c>
      <c r="U70" s="2399"/>
      <c r="V70" s="2400"/>
      <c r="W70" s="2401"/>
      <c r="X70" s="2402"/>
      <c r="Y70" s="2403"/>
      <c r="Z70" s="2404"/>
      <c r="AA70" s="2405"/>
      <c r="AB70" s="2406"/>
      <c r="AC70" s="2407"/>
      <c r="AD70" s="2408"/>
      <c r="AE70" s="2409"/>
      <c r="AF70" s="2410"/>
      <c r="AG70" s="2411"/>
      <c r="AH70" s="2412"/>
      <c r="AI70" s="2413"/>
      <c r="AJ70" s="2414"/>
      <c r="AK70" s="2415"/>
      <c r="AL70" s="2416"/>
      <c r="AM70" s="2417"/>
      <c r="AN70" s="2418"/>
      <c r="AO70" s="2419"/>
      <c r="AP70" s="2420"/>
      <c r="AQ70" s="2421"/>
      <c r="AR70" s="2422"/>
      <c r="AS70" s="1569"/>
      <c r="AT70" s="1551"/>
      <c r="AU70" s="1551" t="str">
        <f t="shared" si="1"/>
        <v>Добавить наименование признака дифференциации</v>
      </c>
      <c r="AV70" s="1551"/>
      <c r="AW70" s="1551"/>
      <c r="AX70" s="1562">
        <v>0</v>
      </c>
    </row>
    <row r="71" spans="1:50" s="559" customFormat="1" ht="14.25" customHeight="1">
      <c r="A71" s="1270"/>
      <c r="B71" s="1270"/>
      <c r="C71" s="1270"/>
      <c r="D71" s="1270"/>
      <c r="E71" s="2602"/>
      <c r="F71" s="2601" t="s">
        <v>102</v>
      </c>
      <c r="G71" s="1270"/>
      <c r="H71" s="1270"/>
      <c r="I71" s="1270"/>
      <c r="J71" s="1270"/>
      <c r="K71" s="1270"/>
      <c r="L71" s="1472"/>
      <c r="M71" s="1248"/>
      <c r="N71" s="1248"/>
      <c r="O71" s="1569"/>
      <c r="P71" s="1243"/>
      <c r="Q71" s="1271"/>
      <c r="R71" s="1243"/>
      <c r="S71" s="1249"/>
      <c r="T71" s="1252" t="s">
        <v>295</v>
      </c>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569"/>
      <c r="AT71" s="1551"/>
      <c r="AU71" s="1551" t="str">
        <f t="shared" si="1"/>
        <v>Добавить централизованную систему для дифференциации</v>
      </c>
      <c r="AV71" s="1551"/>
      <c r="AW71" s="1551"/>
      <c r="AX71" s="1569">
        <v>0</v>
      </c>
    </row>
    <row r="72" spans="1:50" s="1569" customFormat="1" ht="0" hidden="1" customHeight="1">
      <c r="A72" s="1270" t="s">
        <v>305</v>
      </c>
      <c r="B72" s="1270"/>
      <c r="C72" s="1270"/>
      <c r="D72" s="1270"/>
      <c r="E72" s="2601"/>
      <c r="F72" s="1270"/>
      <c r="G72" s="1270"/>
      <c r="H72" s="1270"/>
      <c r="I72" s="1270"/>
      <c r="J72" s="1270"/>
      <c r="K72" s="1270"/>
      <c r="L72" s="1273"/>
      <c r="M72" s="1248"/>
      <c r="N72" s="1248"/>
      <c r="O72" s="455"/>
      <c r="P72" s="317"/>
      <c r="Q72" s="1271"/>
      <c r="R72" s="317"/>
      <c r="S72" s="1249"/>
      <c r="T72" s="1252" t="s">
        <v>299</v>
      </c>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T72" s="437"/>
      <c r="AU72" s="437" t="str">
        <f t="shared" si="1"/>
        <v>Добавить территорию для дифференциации</v>
      </c>
      <c r="AV72" s="437"/>
      <c r="AW72" s="437"/>
      <c r="AX72" s="448">
        <v>0</v>
      </c>
    </row>
    <row r="73" spans="1:50" s="1569" customFormat="1" ht="0" hidden="1" customHeight="1">
      <c r="A73" s="1241"/>
      <c r="B73" s="1241"/>
      <c r="C73" s="1241"/>
      <c r="D73" s="1241"/>
      <c r="E73" s="1270"/>
      <c r="F73" s="1241"/>
      <c r="G73" s="1241"/>
      <c r="H73" s="1241"/>
      <c r="I73" s="1241"/>
      <c r="J73" s="1241"/>
      <c r="K73" s="1241"/>
      <c r="L73" s="1385"/>
      <c r="M73" s="1248"/>
      <c r="N73" s="1248"/>
      <c r="P73" s="1243"/>
      <c r="Q73" s="1244"/>
      <c r="R73" s="1243"/>
      <c r="S73" s="1249"/>
      <c r="T73" s="1252" t="s">
        <v>300</v>
      </c>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T73" s="720"/>
      <c r="AU73" s="720" t="str">
        <f t="shared" si="1"/>
        <v>Добавить наименование тарифа</v>
      </c>
      <c r="AV73" s="720"/>
      <c r="AW73" s="720"/>
      <c r="AX73" s="455">
        <v>0</v>
      </c>
    </row>
    <row r="74" spans="1:50" ht="11.45" customHeight="1">
      <c r="M74" s="1087"/>
      <c r="N74" s="1087"/>
      <c r="O74" s="474"/>
      <c r="P74" s="1082"/>
      <c r="Q74" s="1082"/>
      <c r="R74" s="1082"/>
      <c r="S74" s="1082"/>
      <c r="AJ74" s="1562"/>
      <c r="AK74" s="1562"/>
      <c r="AL74" s="1562"/>
      <c r="AM74" s="1562"/>
      <c r="AN74" s="1562"/>
      <c r="AO74" s="1562"/>
      <c r="AP74" s="1562"/>
      <c r="AS74" s="1082"/>
      <c r="AT74" s="1082"/>
      <c r="AU74" s="1082"/>
      <c r="AV74" s="1082"/>
      <c r="AW74" s="1082"/>
      <c r="AX74" s="1082">
        <v>11</v>
      </c>
    </row>
    <row r="75" spans="1:50" ht="14.65" customHeight="1">
      <c r="O75" s="474"/>
      <c r="S75" s="1180"/>
      <c r="T75" s="2600"/>
      <c r="U75" s="2600"/>
      <c r="V75" s="2600"/>
      <c r="W75" s="2600"/>
      <c r="X75" s="2600"/>
      <c r="Y75" s="2600"/>
      <c r="Z75" s="2600"/>
      <c r="AA75" s="2600"/>
      <c r="AB75" s="2600"/>
      <c r="AC75" s="2600"/>
      <c r="AD75" s="2600"/>
      <c r="AE75" s="2600"/>
      <c r="AF75" s="2600"/>
      <c r="AG75" s="2600"/>
      <c r="AH75" s="2600"/>
      <c r="AI75" s="2600"/>
      <c r="AJ75" s="2600"/>
      <c r="AK75" s="2600"/>
      <c r="AL75" s="2600"/>
      <c r="AM75" s="2600"/>
      <c r="AN75" s="2600"/>
      <c r="AO75" s="2600"/>
      <c r="AP75" s="2600"/>
      <c r="AQ75" s="2600"/>
      <c r="AR75" s="2600"/>
      <c r="AX75" s="1082">
        <v>14</v>
      </c>
    </row>
    <row r="76" spans="1:50" ht="14.65" customHeight="1">
      <c r="O76" s="474"/>
      <c r="AJ76" s="1562"/>
      <c r="AK76" s="1562"/>
      <c r="AL76" s="1562"/>
      <c r="AM76" s="1562"/>
      <c r="AN76" s="1562"/>
      <c r="AO76" s="1562"/>
      <c r="AP76" s="1562"/>
      <c r="AX76" s="1082">
        <v>14</v>
      </c>
    </row>
    <row r="77" spans="1:50" ht="14.65" customHeight="1">
      <c r="O77" s="474"/>
      <c r="S77" s="1180"/>
      <c r="T77" s="2600"/>
      <c r="U77" s="2600"/>
      <c r="V77" s="2600"/>
      <c r="W77" s="2600"/>
      <c r="X77" s="2600"/>
      <c r="Y77" s="2600"/>
      <c r="Z77" s="2600"/>
      <c r="AA77" s="2600"/>
      <c r="AB77" s="2600"/>
      <c r="AC77" s="2600"/>
      <c r="AD77" s="2600"/>
      <c r="AE77" s="2600"/>
      <c r="AF77" s="2600"/>
      <c r="AG77" s="2600"/>
      <c r="AH77" s="2600"/>
      <c r="AI77" s="2600"/>
      <c r="AJ77" s="2600"/>
      <c r="AK77" s="2600"/>
      <c r="AL77" s="2600"/>
      <c r="AM77" s="2600"/>
      <c r="AN77" s="2600"/>
      <c r="AO77" s="2600"/>
      <c r="AP77" s="2600"/>
      <c r="AQ77" s="2600"/>
      <c r="AR77" s="2600"/>
      <c r="AX77" s="1082">
        <v>14</v>
      </c>
    </row>
    <row r="78" spans="1:50" ht="22.5" hidden="1" customHeight="1">
      <c r="A78" s="1087" t="s">
        <v>82</v>
      </c>
      <c r="B78" s="1087">
        <v>0</v>
      </c>
      <c r="C78" s="1087">
        <v>0</v>
      </c>
      <c r="D78" s="1087">
        <v>0</v>
      </c>
      <c r="E78" s="1087">
        <v>0</v>
      </c>
      <c r="F78" s="1087">
        <v>0</v>
      </c>
      <c r="G78" s="1087">
        <v>0</v>
      </c>
      <c r="H78" s="1087">
        <v>0</v>
      </c>
      <c r="I78" s="1087">
        <v>0</v>
      </c>
      <c r="J78" s="1087">
        <v>0</v>
      </c>
      <c r="K78" s="1087">
        <v>0</v>
      </c>
      <c r="L78" s="1374">
        <v>0</v>
      </c>
      <c r="M78" s="1289">
        <v>0</v>
      </c>
      <c r="N78" s="1289">
        <v>0</v>
      </c>
      <c r="O78" s="1289">
        <v>0</v>
      </c>
      <c r="P78" s="1373">
        <v>3</v>
      </c>
      <c r="Q78" s="281">
        <v>3</v>
      </c>
      <c r="R78" s="281">
        <v>3</v>
      </c>
      <c r="S78" s="518">
        <v>12</v>
      </c>
      <c r="T78" s="1082">
        <v>35</v>
      </c>
      <c r="U78" s="1082">
        <v>0</v>
      </c>
      <c r="V78" s="1082">
        <v>0</v>
      </c>
      <c r="W78" s="1082">
        <v>0</v>
      </c>
      <c r="X78" s="1082">
        <v>0</v>
      </c>
      <c r="Y78" s="1082">
        <v>0</v>
      </c>
      <c r="Z78" s="1082">
        <v>0</v>
      </c>
      <c r="AA78" s="1082">
        <v>0</v>
      </c>
      <c r="AB78" s="1082">
        <v>0</v>
      </c>
      <c r="AC78" s="1082">
        <v>24</v>
      </c>
      <c r="AD78" s="1082">
        <v>24</v>
      </c>
      <c r="AE78" s="1082">
        <v>24</v>
      </c>
      <c r="AF78" s="1082">
        <v>11</v>
      </c>
      <c r="AG78" s="1082">
        <v>3</v>
      </c>
      <c r="AH78" s="1082">
        <v>11</v>
      </c>
      <c r="AI78" s="1082">
        <v>0</v>
      </c>
      <c r="AJ78" s="1562">
        <v>0</v>
      </c>
      <c r="AK78" s="1562">
        <v>0</v>
      </c>
      <c r="AL78" s="1562">
        <v>0</v>
      </c>
      <c r="AM78" s="1562">
        <v>0</v>
      </c>
      <c r="AN78" s="1562">
        <v>0</v>
      </c>
      <c r="AO78" s="1562">
        <v>0</v>
      </c>
      <c r="AP78" s="1562">
        <v>0</v>
      </c>
      <c r="AQ78" s="1082">
        <v>4</v>
      </c>
      <c r="AR78" s="1082">
        <v>115</v>
      </c>
      <c r="AS78" s="448">
        <v>10</v>
      </c>
      <c r="AT78" s="448">
        <v>10</v>
      </c>
      <c r="AU78" s="448">
        <v>10</v>
      </c>
      <c r="AV78" s="448">
        <v>10</v>
      </c>
      <c r="AW78" s="448">
        <v>10</v>
      </c>
      <c r="AX78" s="1082">
        <v>23</v>
      </c>
    </row>
  </sheetData>
  <sheetProtection formatColumns="0" formatRows="0" insertRows="0" deleteColumns="0" deleteRows="0" sort="0" autoFilter="0"/>
  <mergeCells count="180">
    <mergeCell ref="AN66:AN67"/>
    <mergeCell ref="AO66:AO67"/>
    <mergeCell ref="AP66:AP67"/>
    <mergeCell ref="AM38:AO38"/>
    <mergeCell ref="AN39:AO39"/>
    <mergeCell ref="AN40:AO40"/>
    <mergeCell ref="AM46:AM47"/>
    <mergeCell ref="AN46:AN47"/>
    <mergeCell ref="AO46:AO47"/>
    <mergeCell ref="AP46:AP47"/>
    <mergeCell ref="AM56:AM57"/>
    <mergeCell ref="AN56:AN57"/>
    <mergeCell ref="AO56:AO57"/>
    <mergeCell ref="AP56:AP57"/>
    <mergeCell ref="AH66:AH67"/>
    <mergeCell ref="AR66:AR67"/>
    <mergeCell ref="F62:F71"/>
    <mergeCell ref="V62:AB62"/>
    <mergeCell ref="AC62:AQ62"/>
    <mergeCell ref="G63:G70"/>
    <mergeCell ref="V63:AB63"/>
    <mergeCell ref="AC63:AQ63"/>
    <mergeCell ref="H64:H70"/>
    <mergeCell ref="I64:I69"/>
    <mergeCell ref="P64:P69"/>
    <mergeCell ref="V64:AB64"/>
    <mergeCell ref="AC64:AQ64"/>
    <mergeCell ref="J65:J68"/>
    <mergeCell ref="Q65:Q68"/>
    <mergeCell ref="K66:K67"/>
    <mergeCell ref="Y66:Y67"/>
    <mergeCell ref="V65:AB65"/>
    <mergeCell ref="AC65:AQ65"/>
    <mergeCell ref="Z66:Z67"/>
    <mergeCell ref="AA66:AA67"/>
    <mergeCell ref="AB66:AB67"/>
    <mergeCell ref="AF66:AF67"/>
    <mergeCell ref="AM66:AM67"/>
    <mergeCell ref="AR56:AR57"/>
    <mergeCell ref="F52:F61"/>
    <mergeCell ref="V52:AB52"/>
    <mergeCell ref="AC52:AQ52"/>
    <mergeCell ref="G53:G60"/>
    <mergeCell ref="V53:AB53"/>
    <mergeCell ref="AC53:AQ53"/>
    <mergeCell ref="H54:H60"/>
    <mergeCell ref="I54:I59"/>
    <mergeCell ref="P54:P59"/>
    <mergeCell ref="V54:AB54"/>
    <mergeCell ref="AC54:AQ54"/>
    <mergeCell ref="J55:J58"/>
    <mergeCell ref="Q55:Q58"/>
    <mergeCell ref="K56:K57"/>
    <mergeCell ref="Y56:Y57"/>
    <mergeCell ref="V55:AB55"/>
    <mergeCell ref="AC55:AQ55"/>
    <mergeCell ref="Z56:Z57"/>
    <mergeCell ref="AA56:AA57"/>
    <mergeCell ref="AB56:AB57"/>
    <mergeCell ref="AF56:AF57"/>
    <mergeCell ref="T75:AR75"/>
    <mergeCell ref="T77:AR77"/>
    <mergeCell ref="V35:AB35"/>
    <mergeCell ref="S32:T32"/>
    <mergeCell ref="V32:AA32"/>
    <mergeCell ref="AC32:AH32"/>
    <mergeCell ref="S33:T33"/>
    <mergeCell ref="V33:AA33"/>
    <mergeCell ref="AC33:AH33"/>
    <mergeCell ref="AC35:AI35"/>
    <mergeCell ref="Z40:AA40"/>
    <mergeCell ref="AG40:AH40"/>
    <mergeCell ref="S36:AQ36"/>
    <mergeCell ref="AR36:AR39"/>
    <mergeCell ref="S37:S39"/>
    <mergeCell ref="T37:T39"/>
    <mergeCell ref="V37:AA37"/>
    <mergeCell ref="AB37:AB39"/>
    <mergeCell ref="AG46:AG47"/>
    <mergeCell ref="AH46:AH47"/>
    <mergeCell ref="AI46:AI47"/>
    <mergeCell ref="AQ37:AQ39"/>
    <mergeCell ref="AC37:AH37"/>
    <mergeCell ref="W38:X38"/>
    <mergeCell ref="S29:T29"/>
    <mergeCell ref="F3:F12"/>
    <mergeCell ref="V3:AB3"/>
    <mergeCell ref="AC3:AQ3"/>
    <mergeCell ref="G4:G11"/>
    <mergeCell ref="V4:AB4"/>
    <mergeCell ref="AC4:AQ4"/>
    <mergeCell ref="H5:H11"/>
    <mergeCell ref="I5:I10"/>
    <mergeCell ref="P5:P10"/>
    <mergeCell ref="V5:AB5"/>
    <mergeCell ref="AC5:AQ5"/>
    <mergeCell ref="J6:J9"/>
    <mergeCell ref="Q6:Q9"/>
    <mergeCell ref="K7:K8"/>
    <mergeCell ref="Y7:Y8"/>
    <mergeCell ref="V6:AB6"/>
    <mergeCell ref="AC6:AQ6"/>
    <mergeCell ref="AC28:AH28"/>
    <mergeCell ref="Z7:Z8"/>
    <mergeCell ref="AA7:AA8"/>
    <mergeCell ref="AB7:AB8"/>
    <mergeCell ref="AF7:AF8"/>
    <mergeCell ref="AM7:AM8"/>
    <mergeCell ref="AR7:AR8"/>
    <mergeCell ref="AF15:AF16"/>
    <mergeCell ref="AG15:AG16"/>
    <mergeCell ref="AH15:AH16"/>
    <mergeCell ref="AI15:AI16"/>
    <mergeCell ref="Z46:Z47"/>
    <mergeCell ref="AC45:AQ45"/>
    <mergeCell ref="AA46:AA47"/>
    <mergeCell ref="AB46:AB47"/>
    <mergeCell ref="AF46:AF47"/>
    <mergeCell ref="AR46:AR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AQ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72"/>
    <mergeCell ref="V41:AB41"/>
    <mergeCell ref="AC41:AQ41"/>
    <mergeCell ref="F42:F51"/>
    <mergeCell ref="V42:AB42"/>
    <mergeCell ref="AC42:AQ42"/>
    <mergeCell ref="G43:G50"/>
    <mergeCell ref="V43:AB43"/>
    <mergeCell ref="AC43:AQ43"/>
    <mergeCell ref="H44:H50"/>
    <mergeCell ref="I44:I49"/>
    <mergeCell ref="P44:P49"/>
    <mergeCell ref="V44:AB44"/>
    <mergeCell ref="AC44:AQ44"/>
    <mergeCell ref="J45:J48"/>
    <mergeCell ref="Q45:Q48"/>
    <mergeCell ref="V45:AB45"/>
    <mergeCell ref="K46:K47"/>
    <mergeCell ref="Y46:Y47"/>
    <mergeCell ref="AI56:AI57"/>
    <mergeCell ref="AG56:AG57"/>
    <mergeCell ref="AH56:AH57"/>
    <mergeCell ref="AI66:AI67"/>
    <mergeCell ref="AG66:AG67"/>
  </mergeCells>
  <dataValidations count="8">
    <dataValidation allowBlank="1" sqref="S131136:AR131142 S196672:AR196678 S262208:AR262214 S327744:AR327750 S393280:AR393286 S458816:AR458822 S524352:AR524358 S589888:AR589894 S655424:AR655430 S720960:AR720966 S786496:AR786502 S852032:AR852038 S917568:AR917574 S983104:AR983110 S65600:AR65606"/>
    <dataValidation type="list" allowBlank="1" showInputMessage="1" errorTitle="Ошибка" error="Выберите значение из списка" prompt="Выберите значение из списка" sqref="V983101:AQ983101 V65597:AQ65597 V131133:AQ131133 V196669:AQ196669 V262205:AQ262205 V327741:AQ327741 V393277:AQ393277 V458813:AQ458813 V524349:AQ524349 V589885:AQ589885 V655421:AQ655421 V720957:AQ720957 V786493:AQ786493 V852029:AQ852029 V917565:AQ917565">
      <formula1>kind_of_cons</formula1>
    </dataValidation>
    <dataValidation allowBlank="1" promptTitle="checkPeriodRange" sqref="X65599 X131135 X196671 X262207 X327743 X393279 X458815 X524351 X589887 X655423 X720959 X786495 X852031 X917567 X983103 AE16 AE65599 AE131135 AE196671 AE262207 AE327743 AE393279 AE458815 AE524351 AE589887 AE655423 AE720959 AE786495 AE852031 AE917567 AE983103 X47 AE8 X8 AE47 X57 AE57 X67 AE67 AL8 AL47 AL57 AL67"/>
    <dataValidation type="list" allowBlank="1" showInputMessage="1" showErrorMessage="1" errorTitle="Ошибка" error="Выберите значение из списка" sqref="V983100 V65596 V131132 V196668 V262204 V327740 V393276 V458812 V524348 V589884 V655420 V720956 V786492 V852028 V917564 AC983100 AC65596 AC131132 AC196668 AC262204 AC327740 AC393276 AC458812 AC524348 AC589884 AC655420 AC720956 AC786492 AC852028 AC917564">
      <formula1>kind_of_scheme_in</formula1>
    </dataValidation>
    <dataValidation type="textLength" operator="lessThanOrEqual" allowBlank="1" showInputMessage="1" showErrorMessage="1" errorTitle="Ошибка" error="Допускается ввод не более 900 символов!" sqref="AR65592:AR65599 AR131128:AR131135 AR196664:AR196671 AR262200:AR262207 AR327736:AR327743 AR393272:AR393279 AR458808:AR458815 AR524344:AR524351 AR589880:AR589887 AR655416:AR655423 AR720952:AR720959 AR786488:AR786495 AR852024:AR852031 AR917560:AR917567 AR983096:AR983103 T46 T7 AC44:AI44 AQ44 AC5:AI5 AQ5 AC54 AD54 AE54 AF54 AG54 AH54 AI54 AQ54 T56 AC64 AD64 AE64 AF64 AG64 AH64 AI64 AQ64 T66">
      <formula1>900</formula1>
    </dataValidation>
    <dataValidation type="list" allowBlank="1" showInputMessage="1" showErrorMessage="1" errorTitle="Ошибка" error="Выберите значение из списка" sqref="T65598 T131134 T196670 T262206 T327742 T393278 T458814 T524350 T589886 T655422 T720958 T786494 T852030 T917566 T98310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8 Y131134 Y196670 Y262206 Y327742 Y393278 Y458814 Y524350 Y589886 Y655422 Y720958 Y786494 Y852030 Y917566 Y983102 AA65598 AA131134 AA196670 AA262206 AA327742 AA393278 AA458814 AA524350 AA589886 AA655422 AA720958 AA786494 AA852030 AA917566 AA983102 AF15 AF65598 AF131134 AF196670 AF262206 AF327742 AF393278 AF458814 AF524350 AF589886 AF655422 AF720958 AF786494 AF852030 AF917566 AF983102 AH65598 AH131134 AH196670 AH262206 AH327742 AH393278 AH458814 AH524350 AH589886 AH655422 AH720958 AH786494 AH852030 AH917566 AH983102 AH46 AF46 AH15 Y46 AA46 AH7 AF7 Y7 AA7 Y56 AA56 AF56 AH56 Y66 AA66 AF66 AH66 AM7 AO7 AM46 AO46 AM56 AO56 AM66 AO66"/>
    <dataValidation allowBlank="1" showInputMessage="1" showErrorMessage="1" prompt="Для выбора выполните двойной щелчок левой клавиши мыши по соответствующей ячейке." sqref="Z65598 Z131134 Z196670 Z262206 Z327742 Z393278 Z458814 Z524350 Z589886 Z655422 Z720958 Z786494 Z852030 Z917566 Z983102 AB131134 AB458814 AB196670 AB262206 AB327742 AB393278 AB524350 AB589886 AB655422 AB720958 AB786494 AB852030 AB917566 AB983102 AB65598 AG65598 AG131134 AG196670 AG262206 AG327742 AG393278 AG458814 AG524350 AG589886 AG655422 AG720958 AG786494 AG852030 AG917566 AG983102 AI46 AN46 AP46 AI524350:AP524350 AI196670:AP196670 AI589886:AP589886 AI655422:AP655422 AI15 AI720958:AP720958 AI786494:AP786494 AI852030:AP852030 AI917566:AP917566 AI983102:AP983102 AI65598:AP65598 AI131134:AP131134 AI458814:AP458814 AI262206:AP262206 AG46 AI7 AN7 AP7 Z46 AB46 AG15 AG7 Z7 AB7 AI327742:AP327742 AI393278:AP393278 Z56 AB56 AG56 AI56 AN56 AP56 Z66 AB66 AG66 AI66 AN66 AP6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01">
        <v>1</v>
      </c>
      <c r="F2" s="1290"/>
      <c r="G2" s="1290"/>
      <c r="H2" s="1290"/>
      <c r="I2" s="1290"/>
      <c r="J2" s="1290"/>
      <c r="K2" s="1290"/>
      <c r="L2" s="1291"/>
      <c r="M2" s="1292"/>
      <c r="N2" s="1292"/>
      <c r="O2" s="1292"/>
      <c r="P2" s="298"/>
      <c r="Q2" s="297"/>
      <c r="R2" s="292"/>
      <c r="S2" s="1384" t="e">
        <f>INDEX(PT_DIFFERENTIATION_NUM_NTAR,MATCH(A2,PT_DIFFERENTIATION_NTAR_ID,0))</f>
        <v>#N/A</v>
      </c>
      <c r="T2" s="235" t="s">
        <v>189</v>
      </c>
      <c r="U2" s="237"/>
      <c r="V2" s="2595"/>
      <c r="W2" s="2596"/>
      <c r="X2" s="2596"/>
      <c r="Y2" s="2596"/>
      <c r="Z2" s="2596"/>
      <c r="AA2" s="2596"/>
      <c r="AB2" s="2597"/>
      <c r="AC2" s="2595" t="e">
        <f>INDEX(PT_DIFFERENTIATION_NTAR,MATCH(A2,PT_DIFFERENTIATION_NTAR_ID,0))</f>
        <v>#N/A</v>
      </c>
      <c r="AD2" s="2596"/>
      <c r="AE2" s="2596"/>
      <c r="AF2" s="2596"/>
      <c r="AG2" s="2596"/>
      <c r="AH2" s="2596"/>
      <c r="AI2" s="2596"/>
      <c r="AJ2" s="259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02"/>
      <c r="F3" s="2601">
        <v>1</v>
      </c>
      <c r="G3" s="1290"/>
      <c r="H3" s="1290"/>
      <c r="I3" s="1290"/>
      <c r="J3" s="1290"/>
      <c r="K3" s="1290"/>
      <c r="L3" s="1291"/>
      <c r="M3" s="1292"/>
      <c r="N3" s="1292"/>
      <c r="O3" s="1292"/>
      <c r="P3" s="1380"/>
      <c r="Q3" s="289"/>
      <c r="R3" s="290"/>
      <c r="S3" s="1384" t="e">
        <f>INDEX(PT_DIFFERENTIATION_NUM_TER,MATCH(B3,PT_DIFFERENTIATION_TER_ID,0))</f>
        <v>#N/A</v>
      </c>
      <c r="T3" s="245" t="s">
        <v>477</v>
      </c>
      <c r="U3" s="237"/>
      <c r="V3" s="2595"/>
      <c r="W3" s="2596"/>
      <c r="X3" s="2596"/>
      <c r="Y3" s="2596"/>
      <c r="Z3" s="2596"/>
      <c r="AA3" s="2596"/>
      <c r="AB3" s="2597"/>
      <c r="AC3" s="2595" t="e">
        <f>INDEX(PT_DIFFERENTIATION_TER,MATCH(B3,PT_DIFFERENTIATION_TER_ID,0))</f>
        <v>#N/A</v>
      </c>
      <c r="AD3" s="2596"/>
      <c r="AE3" s="2596"/>
      <c r="AF3" s="2596"/>
      <c r="AG3" s="2596"/>
      <c r="AH3" s="2596"/>
      <c r="AI3" s="2596"/>
      <c r="AJ3" s="2597"/>
      <c r="AK3" s="1185" t="s">
        <v>478</v>
      </c>
      <c r="AM3" s="437"/>
      <c r="AN3" s="437" t="str">
        <f t="shared" si="0"/>
        <v>Территория действия тарифа</v>
      </c>
      <c r="AO3" s="437"/>
      <c r="AP3" s="437"/>
      <c r="AQ3" s="1082">
        <v>0</v>
      </c>
    </row>
    <row r="4" spans="1:43" ht="23.25" hidden="1" customHeight="1">
      <c r="A4" s="1290"/>
      <c r="B4" s="1290"/>
      <c r="C4" s="1290"/>
      <c r="D4" s="1290"/>
      <c r="E4" s="2602"/>
      <c r="F4" s="2602"/>
      <c r="G4" s="2601">
        <v>1</v>
      </c>
      <c r="H4" s="1290"/>
      <c r="I4" s="1290"/>
      <c r="J4" s="1290"/>
      <c r="K4" s="1290"/>
      <c r="L4" s="1291"/>
      <c r="M4" s="1292"/>
      <c r="N4" s="1292"/>
      <c r="O4" s="1292"/>
      <c r="P4" s="291"/>
      <c r="Q4" s="289"/>
      <c r="R4" s="290"/>
      <c r="S4" s="1384" t="e">
        <f>INDEX(PT_DIFFERENTIATION_NUM_CS,MATCH(C4,PT_DIFFERENTIATION_CS_ID,0))</f>
        <v>#N/A</v>
      </c>
      <c r="T4" s="246" t="s">
        <v>558</v>
      </c>
      <c r="U4" s="237"/>
      <c r="V4" s="2595"/>
      <c r="W4" s="2596"/>
      <c r="X4" s="2596"/>
      <c r="Y4" s="2596"/>
      <c r="Z4" s="2596"/>
      <c r="AA4" s="2596"/>
      <c r="AB4" s="2597"/>
      <c r="AC4" s="2595" t="e">
        <f>INDEX(PT_DIFFERENTIATION_CS,MATCH(C4,PT_DIFFERENTIATION_CS_ID,0))</f>
        <v>#N/A</v>
      </c>
      <c r="AD4" s="2596"/>
      <c r="AE4" s="2596"/>
      <c r="AF4" s="2596"/>
      <c r="AG4" s="2596"/>
      <c r="AH4" s="2596"/>
      <c r="AI4" s="2596"/>
      <c r="AJ4" s="2597"/>
      <c r="AK4" s="1185" t="s">
        <v>559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02"/>
      <c r="F5" s="2602"/>
      <c r="G5" s="2602"/>
      <c r="H5" s="2602"/>
      <c r="I5" s="2603" t="e">
        <f>S4&amp;".1"</f>
        <v>#N/A</v>
      </c>
      <c r="J5" s="1290"/>
      <c r="K5" s="1290"/>
      <c r="L5" s="1291"/>
      <c r="P5" s="2605">
        <v>1</v>
      </c>
      <c r="Q5" s="1377"/>
      <c r="R5" s="293"/>
      <c r="S5" s="1384" t="e">
        <f>$I5</f>
        <v>#N/A</v>
      </c>
      <c r="T5" s="222" t="s">
        <v>560</v>
      </c>
      <c r="U5" s="237"/>
      <c r="V5" s="2669"/>
      <c r="W5" s="2670"/>
      <c r="X5" s="2670"/>
      <c r="Y5" s="2670"/>
      <c r="Z5" s="2670"/>
      <c r="AA5" s="2670"/>
      <c r="AB5" s="2671"/>
      <c r="AC5" s="2672"/>
      <c r="AD5" s="2673"/>
      <c r="AE5" s="2673"/>
      <c r="AF5" s="2673"/>
      <c r="AG5" s="2673"/>
      <c r="AH5" s="2673"/>
      <c r="AI5" s="2673"/>
      <c r="AJ5" s="2674"/>
      <c r="AK5" s="1185" t="s">
        <v>561</v>
      </c>
      <c r="AM5" s="437"/>
      <c r="AN5" s="437" t="str">
        <f t="shared" si="0"/>
        <v>Наименование признака дифференциации</v>
      </c>
      <c r="AO5" s="437"/>
      <c r="AP5" s="437"/>
      <c r="AQ5" s="1082">
        <v>0</v>
      </c>
    </row>
    <row r="6" spans="1:43" ht="23.25" hidden="1" customHeight="1">
      <c r="A6" s="1290"/>
      <c r="B6" s="1290"/>
      <c r="C6" s="1290"/>
      <c r="D6" s="1290"/>
      <c r="E6" s="2602"/>
      <c r="F6" s="2602"/>
      <c r="G6" s="2602"/>
      <c r="H6" s="2602"/>
      <c r="I6" s="2604"/>
      <c r="J6" s="2603" t="e">
        <f>I5&amp;".1"</f>
        <v>#N/A</v>
      </c>
      <c r="K6" s="1290"/>
      <c r="L6" s="1291" t="s">
        <v>486</v>
      </c>
      <c r="P6" s="2605"/>
      <c r="Q6" s="2605">
        <v>1</v>
      </c>
      <c r="R6" s="294"/>
      <c r="S6" s="1384" t="e">
        <f>$J6</f>
        <v>#N/A</v>
      </c>
      <c r="T6" s="223" t="s">
        <v>487</v>
      </c>
      <c r="U6" s="237"/>
      <c r="V6" s="2589"/>
      <c r="W6" s="2590"/>
      <c r="X6" s="2590"/>
      <c r="Y6" s="2590"/>
      <c r="Z6" s="2590"/>
      <c r="AA6" s="2590"/>
      <c r="AB6" s="2591"/>
      <c r="AC6" s="2589"/>
      <c r="AD6" s="2590"/>
      <c r="AE6" s="2590"/>
      <c r="AF6" s="2590"/>
      <c r="AG6" s="2590"/>
      <c r="AH6" s="2590"/>
      <c r="AI6" s="2590"/>
      <c r="AJ6" s="2591"/>
      <c r="AK6" s="1234" t="s">
        <v>562</v>
      </c>
      <c r="AM6" s="437"/>
      <c r="AN6" s="437" t="str">
        <f t="shared" si="0"/>
        <v>Группа потребителей</v>
      </c>
      <c r="AO6" s="437"/>
      <c r="AP6" s="437"/>
      <c r="AQ6" s="1082">
        <v>0</v>
      </c>
    </row>
    <row r="7" spans="1:43" ht="23.25" hidden="1" customHeight="1">
      <c r="A7" s="1290"/>
      <c r="B7" s="1290"/>
      <c r="C7" s="1290"/>
      <c r="D7" s="1290"/>
      <c r="E7" s="2602"/>
      <c r="F7" s="2602"/>
      <c r="G7" s="2602"/>
      <c r="H7" s="2602"/>
      <c r="I7" s="2604"/>
      <c r="J7" s="2604"/>
      <c r="K7" s="2603" t="e">
        <f>J6&amp;".1"</f>
        <v>#N/A</v>
      </c>
      <c r="L7" s="1291"/>
      <c r="P7" s="2605"/>
      <c r="Q7" s="2605"/>
      <c r="R7" s="294">
        <v>1</v>
      </c>
      <c r="S7" s="1384" t="e">
        <f>$K7</f>
        <v>#N/A</v>
      </c>
      <c r="T7" s="1364"/>
      <c r="U7" s="237"/>
      <c r="V7" s="688"/>
      <c r="W7" s="688"/>
      <c r="X7" s="1184"/>
      <c r="Y7" s="2606"/>
      <c r="Z7" s="2471" t="s">
        <v>66</v>
      </c>
      <c r="AA7" s="2606"/>
      <c r="AB7" s="2471" t="s">
        <v>66</v>
      </c>
      <c r="AC7" s="688"/>
      <c r="AD7" s="688"/>
      <c r="AE7" s="1184"/>
      <c r="AF7" s="2606"/>
      <c r="AG7" s="2471" t="s">
        <v>66</v>
      </c>
      <c r="AH7" s="2608"/>
      <c r="AI7" s="2471" t="s">
        <v>66</v>
      </c>
      <c r="AJ7" s="1365"/>
      <c r="AK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02"/>
      <c r="F8" s="2602"/>
      <c r="G8" s="2602"/>
      <c r="H8" s="2602"/>
      <c r="I8" s="2604"/>
      <c r="J8" s="2604"/>
      <c r="K8" s="2603"/>
      <c r="L8" s="1291"/>
      <c r="P8" s="2605"/>
      <c r="Q8" s="2605"/>
      <c r="R8" s="294"/>
      <c r="S8" s="1383"/>
      <c r="T8" s="237"/>
      <c r="U8" s="237"/>
      <c r="V8" s="262"/>
      <c r="W8" s="262"/>
      <c r="X8" s="265" t="str">
        <f>Y7&amp;"-"&amp;AA7</f>
        <v>-</v>
      </c>
      <c r="Y8" s="2607"/>
      <c r="Z8" s="2471"/>
      <c r="AA8" s="2607"/>
      <c r="AB8" s="2471"/>
      <c r="AC8" s="262"/>
      <c r="AD8" s="262"/>
      <c r="AE8" s="265" t="str">
        <f>AF7&amp;"-"&amp;AH7</f>
        <v>-</v>
      </c>
      <c r="AF8" s="2607"/>
      <c r="AG8" s="2471"/>
      <c r="AH8" s="2609"/>
      <c r="AI8" s="2471"/>
      <c r="AJ8" s="1366"/>
      <c r="AK8" s="2675"/>
      <c r="AM8" s="437"/>
      <c r="AN8" s="437" t="str">
        <f t="shared" si="0"/>
        <v/>
      </c>
      <c r="AO8" s="437"/>
      <c r="AP8" s="437"/>
      <c r="AQ8" s="1082">
        <v>0</v>
      </c>
    </row>
    <row r="9" spans="1:43" ht="21" hidden="1" customHeight="1">
      <c r="A9" s="1290"/>
      <c r="B9" s="1290"/>
      <c r="C9" s="1290"/>
      <c r="D9" s="1290"/>
      <c r="E9" s="2602"/>
      <c r="F9" s="2602"/>
      <c r="G9" s="2602"/>
      <c r="H9" s="2602"/>
      <c r="I9" s="2604"/>
      <c r="J9" s="2603"/>
      <c r="K9" s="1290"/>
      <c r="L9" s="1291"/>
      <c r="P9" s="2605"/>
      <c r="Q9" s="2605"/>
      <c r="R9" s="293"/>
      <c r="S9" s="1205"/>
      <c r="T9" s="224" t="s">
        <v>563</v>
      </c>
      <c r="U9" s="304"/>
      <c r="V9" s="304"/>
      <c r="W9" s="304"/>
      <c r="X9" s="304"/>
      <c r="Y9" s="304"/>
      <c r="Z9" s="304"/>
      <c r="AA9" s="304"/>
      <c r="AB9" s="304"/>
      <c r="AC9" s="304"/>
      <c r="AD9" s="304"/>
      <c r="AE9" s="304"/>
      <c r="AF9" s="304"/>
      <c r="AG9" s="304"/>
      <c r="AH9" s="304"/>
      <c r="AI9" s="304"/>
      <c r="AJ9" s="304"/>
      <c r="AK9" s="1185" t="s">
        <v>564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02"/>
      <c r="F10" s="2602"/>
      <c r="G10" s="2602"/>
      <c r="H10" s="2602"/>
      <c r="I10" s="2603"/>
      <c r="J10" s="1290"/>
      <c r="K10" s="1290"/>
      <c r="L10" s="1291"/>
      <c r="P10" s="2605"/>
      <c r="Q10" s="1377"/>
      <c r="R10" s="293"/>
      <c r="S10" s="1205"/>
      <c r="T10" s="302" t="s">
        <v>492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02"/>
      <c r="F12" s="2601"/>
      <c r="G12" s="1241"/>
      <c r="H12" s="1241"/>
      <c r="I12" s="1241"/>
      <c r="J12" s="1241"/>
      <c r="K12" s="1241"/>
      <c r="L12" s="1385"/>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99"/>
      <c r="AG15" s="2598" t="s">
        <v>66</v>
      </c>
      <c r="AH15" s="2599"/>
      <c r="AI15" s="2598" t="s">
        <v>66</v>
      </c>
      <c r="AQ15" s="1082">
        <v>0</v>
      </c>
    </row>
    <row r="16" spans="1:43" ht="14.25" hidden="1" customHeight="1">
      <c r="AC16" s="1287"/>
      <c r="AD16" s="1287"/>
      <c r="AE16" s="265" t="str">
        <f>AF15&amp;"-"&amp;AH15</f>
        <v>-</v>
      </c>
      <c r="AF16" s="2598"/>
      <c r="AG16" s="2598"/>
      <c r="AH16" s="2598"/>
      <c r="AI16" s="2598"/>
      <c r="AQ16" s="1082">
        <v>0</v>
      </c>
    </row>
    <row r="17" spans="1:43" ht="14.25" hidden="1" customHeight="1">
      <c r="AI17" s="264"/>
      <c r="AQ17" s="1082">
        <v>0</v>
      </c>
    </row>
    <row r="18" spans="1:43" s="1293" customFormat="1" ht="22.5" hidden="1" customHeight="1">
      <c r="L18" s="1374"/>
      <c r="M18" s="1289"/>
      <c r="N18" s="1289"/>
      <c r="O18" s="1294" t="s">
        <v>495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496</v>
      </c>
      <c r="P20" s="1289"/>
      <c r="Q20" s="1369"/>
      <c r="R20" s="1369"/>
      <c r="S20" s="666"/>
      <c r="T20" s="1087" t="s">
        <v>497</v>
      </c>
      <c r="Z20" s="123" t="s">
        <v>498</v>
      </c>
      <c r="AB20" s="123" t="s">
        <v>499</v>
      </c>
      <c r="AC20" s="1087" t="s">
        <v>497</v>
      </c>
      <c r="AG20" s="123" t="s">
        <v>500</v>
      </c>
      <c r="AI20" s="123" t="s">
        <v>499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82"/>
      <c r="U24" s="2582"/>
      <c r="V24" s="2582"/>
      <c r="W24" s="2582"/>
      <c r="X24" s="2582"/>
      <c r="Y24" s="2582"/>
      <c r="Z24" s="2582"/>
      <c r="AA24" s="2582"/>
      <c r="AB24" s="2582"/>
      <c r="AC24" s="2582"/>
      <c r="AD24" s="2582"/>
      <c r="AE24" s="2582"/>
      <c r="AF24" s="2582"/>
      <c r="AG24" s="2582"/>
      <c r="AH24" s="2582"/>
      <c r="AI24" s="1170"/>
      <c r="AQ24" s="1082">
        <v>14</v>
      </c>
    </row>
    <row r="25" spans="1:43"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63"/>
      <c r="AC27" s="2594" t="str">
        <f>IF(TITLE_NAME_OR_PR_CHANGE="",IF(TITLE_NAME_OR_PR="","",TITLE_NAME_OR_PR),TITLE_NAME_OR_PR_CHANGE)</f>
        <v>Региональная служба по тарифам Ростовской области</v>
      </c>
      <c r="AD27" s="2594"/>
      <c r="AE27" s="2594"/>
      <c r="AF27" s="2594"/>
      <c r="AG27" s="2594"/>
      <c r="AH27" s="2594"/>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63"/>
      <c r="AC28" s="2593">
        <f>IF(TITLE_DATE_PR_CHANGE="",IF(TITLE_DATE_PR="","",TITLE_DATE_PR),TITLE_DATE_PR_CHANGE)</f>
        <v>45596.468541666669</v>
      </c>
      <c r="AD28" s="2593"/>
      <c r="AE28" s="2593"/>
      <c r="AF28" s="2593"/>
      <c r="AG28" s="2593"/>
      <c r="AH28" s="2593"/>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63"/>
      <c r="AC29" s="2594" t="str">
        <f>IF(TITLE_NUMBER_PR_CHANGE="",IF(TITLE_NUMBER_PR="","",TITLE_NUMBER_PR),TITLE_NUMBER_PR_CHANGE)</f>
        <v>440,503</v>
      </c>
      <c r="AD29" s="2594"/>
      <c r="AE29" s="2594"/>
      <c r="AF29" s="2594"/>
      <c r="AG29" s="2594"/>
      <c r="AH29" s="2594"/>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63"/>
      <c r="AC30" s="2594" t="str">
        <f>IF(TITLE_IST_PUB_CHANGE="",IF(TITLE_IST_PUB="","",TITLE_IST_PUB),TITLE_IST_PUB_CHANGE)</f>
        <v>Региональная служба по тарифам Ростовской области</v>
      </c>
      <c r="AD30" s="2594"/>
      <c r="AE30" s="2594"/>
      <c r="AF30" s="2594"/>
      <c r="AG30" s="2594"/>
      <c r="AH30" s="259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63"/>
      <c r="AC32" s="2593">
        <f>IF(TITLE_DATE_PR_CHANGE="",IF(TITLE_DATE_PR="","",TITLE_DATE_PR),TITLE_DATE_PR_CHANGE)</f>
        <v>45596.468541666669</v>
      </c>
      <c r="AD32" s="2593"/>
      <c r="AE32" s="2593"/>
      <c r="AF32" s="2593"/>
      <c r="AG32" s="2593"/>
      <c r="AH32" s="259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63"/>
      <c r="AC33" s="2594" t="str">
        <f>IF(TITLE_NUMBER_PR_CHANGE="",IF(TITLE_NUMBER_PR="","",TITLE_NUMBER_PR),TITLE_NUMBER_PR_CHANGE)</f>
        <v>440,503</v>
      </c>
      <c r="AD33" s="2594"/>
      <c r="AE33" s="2594"/>
      <c r="AF33" s="2594"/>
      <c r="AG33" s="2594"/>
      <c r="AH33" s="259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505</v>
      </c>
      <c r="AC34" s="263"/>
      <c r="AD34" s="263"/>
      <c r="AE34" s="263"/>
      <c r="AF34" s="263"/>
      <c r="AG34" s="263"/>
      <c r="AH34" s="263"/>
      <c r="AI34" s="215" t="s">
        <v>505</v>
      </c>
      <c r="AL34" s="305"/>
      <c r="AM34" s="305"/>
      <c r="AN34" s="305"/>
      <c r="AO34" s="305"/>
      <c r="AP34" s="305"/>
      <c r="AQ34" s="355">
        <v>1</v>
      </c>
    </row>
    <row r="35" spans="1:43" ht="14.65" customHeight="1">
      <c r="Q35" s="313"/>
      <c r="R35" s="313"/>
      <c r="S35" s="1202"/>
      <c r="T35" s="300"/>
      <c r="U35" s="1171"/>
      <c r="V35" s="2613"/>
      <c r="W35" s="2613"/>
      <c r="X35" s="2613"/>
      <c r="Y35" s="2613"/>
      <c r="Z35" s="2613"/>
      <c r="AA35" s="2613"/>
      <c r="AB35" s="2613"/>
      <c r="AC35" s="2613"/>
      <c r="AD35" s="2613"/>
      <c r="AE35" s="2613"/>
      <c r="AF35" s="2613"/>
      <c r="AG35" s="2613"/>
      <c r="AH35" s="2613"/>
      <c r="AI35" s="2613"/>
      <c r="AQ35" s="1082">
        <v>14</v>
      </c>
    </row>
    <row r="36" spans="1:43"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c r="AK36" s="2461" t="s">
        <v>381</v>
      </c>
      <c r="AQ36" s="1082">
        <v>14</v>
      </c>
    </row>
    <row r="37" spans="1:43" ht="14.65" customHeight="1">
      <c r="Q37" s="313"/>
      <c r="R37" s="313"/>
      <c r="S37" s="2614" t="s">
        <v>88</v>
      </c>
      <c r="T37" s="2563" t="s">
        <v>506</v>
      </c>
      <c r="U37" s="238"/>
      <c r="V37" s="2615" t="s">
        <v>507</v>
      </c>
      <c r="W37" s="2616"/>
      <c r="X37" s="2616"/>
      <c r="Y37" s="2616"/>
      <c r="Z37" s="2616"/>
      <c r="AA37" s="2617"/>
      <c r="AB37" s="2618" t="s">
        <v>508</v>
      </c>
      <c r="AC37" s="2615" t="s">
        <v>507</v>
      </c>
      <c r="AD37" s="2616"/>
      <c r="AE37" s="2616"/>
      <c r="AF37" s="2616"/>
      <c r="AG37" s="2616"/>
      <c r="AH37" s="2617"/>
      <c r="AI37" s="2618" t="s">
        <v>509</v>
      </c>
      <c r="AJ37" s="2621" t="s">
        <v>510</v>
      </c>
      <c r="AK37" s="2461"/>
      <c r="AQ37" s="1082">
        <v>14</v>
      </c>
    </row>
    <row r="38" spans="1:43" ht="35.65" customHeight="1">
      <c r="Q38" s="313"/>
      <c r="R38" s="313"/>
      <c r="S38" s="2614"/>
      <c r="T38" s="2563"/>
      <c r="U38" s="961"/>
      <c r="V38" s="1379" t="s">
        <v>566</v>
      </c>
      <c r="W38" s="2442" t="s">
        <v>513</v>
      </c>
      <c r="X38" s="2441"/>
      <c r="Y38" s="2442" t="s">
        <v>514</v>
      </c>
      <c r="Z38" s="2448"/>
      <c r="AA38" s="2441"/>
      <c r="AB38" s="2619"/>
      <c r="AC38" s="1379" t="s">
        <v>566</v>
      </c>
      <c r="AD38" s="2442" t="s">
        <v>513</v>
      </c>
      <c r="AE38" s="2441"/>
      <c r="AF38" s="2442" t="s">
        <v>514</v>
      </c>
      <c r="AG38" s="2448"/>
      <c r="AH38" s="2441"/>
      <c r="AI38" s="2619"/>
      <c r="AJ38" s="2622"/>
      <c r="AK38" s="2461"/>
      <c r="AQ38" s="1082">
        <v>34</v>
      </c>
    </row>
    <row r="39" spans="1:43" ht="35.65" customHeight="1">
      <c r="A39" s="1297"/>
      <c r="B39" s="1297" t="s">
        <v>201</v>
      </c>
      <c r="C39" s="1297" t="s">
        <v>202</v>
      </c>
      <c r="D39" s="1297" t="s">
        <v>203</v>
      </c>
      <c r="E39" s="1291" t="s">
        <v>515</v>
      </c>
      <c r="F39" s="1291" t="s">
        <v>516</v>
      </c>
      <c r="G39" s="1291" t="s">
        <v>517</v>
      </c>
      <c r="H39" s="1291"/>
      <c r="I39" s="1291" t="s">
        <v>567</v>
      </c>
      <c r="J39" s="1291" t="s">
        <v>520</v>
      </c>
      <c r="K39" s="1291" t="s">
        <v>568</v>
      </c>
      <c r="L39" s="1291" t="s">
        <v>496</v>
      </c>
      <c r="Q39" s="313"/>
      <c r="R39" s="313"/>
      <c r="S39" s="2614"/>
      <c r="T39" s="2563"/>
      <c r="U39" s="239"/>
      <c r="V39" s="1379" t="s">
        <v>569</v>
      </c>
      <c r="W39" s="1149" t="s">
        <v>570</v>
      </c>
      <c r="X39" s="1149" t="s">
        <v>571</v>
      </c>
      <c r="Y39" s="1382" t="s">
        <v>524</v>
      </c>
      <c r="Z39" s="2568" t="s">
        <v>525</v>
      </c>
      <c r="AA39" s="2581"/>
      <c r="AB39" s="2620"/>
      <c r="AC39" s="1379" t="s">
        <v>569</v>
      </c>
      <c r="AD39" s="1149" t="s">
        <v>570</v>
      </c>
      <c r="AE39" s="1149" t="s">
        <v>571</v>
      </c>
      <c r="AF39" s="1382" t="s">
        <v>524</v>
      </c>
      <c r="AG39" s="2568" t="s">
        <v>525</v>
      </c>
      <c r="AH39" s="2581"/>
      <c r="AI39" s="2620"/>
      <c r="AJ39" s="2623"/>
      <c r="AK39" s="246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177</v>
      </c>
      <c r="T40" s="1182" t="s">
        <v>102</v>
      </c>
      <c r="U40" s="1172" t="str">
        <f ca="1">OFFSET(U40,0,-1)</f>
        <v>2</v>
      </c>
      <c r="V40" s="1378">
        <f ca="1">OFFSET(V40,0,-1)+1</f>
        <v>3</v>
      </c>
      <c r="W40" s="1378">
        <f ca="1">OFFSET(W40,0,-1)+1</f>
        <v>4</v>
      </c>
      <c r="X40" s="1378">
        <f ca="1">OFFSET(X40,0,-1)+1</f>
        <v>5</v>
      </c>
      <c r="Y40" s="1378">
        <f ca="1">OFFSET(Y40,0,-1)+1</f>
        <v>6</v>
      </c>
      <c r="Z40" s="2612">
        <f ca="1">OFFSET(Z40,0,-1)+1</f>
        <v>7</v>
      </c>
      <c r="AA40" s="2612"/>
      <c r="AB40" s="1378">
        <f ca="1">OFFSET(AB40,0,-2)+1</f>
        <v>8</v>
      </c>
      <c r="AC40" s="1378">
        <f ca="1">OFFSET(AC40,0,-1)+1</f>
        <v>9</v>
      </c>
      <c r="AD40" s="1378">
        <f ca="1">OFFSET(AD40,0,-1)+1</f>
        <v>10</v>
      </c>
      <c r="AE40" s="1378">
        <f ca="1">OFFSET(AE40,0,-1)+1</f>
        <v>11</v>
      </c>
      <c r="AF40" s="1378">
        <f ca="1">OFFSET(AF40,0,-1)+1</f>
        <v>12</v>
      </c>
      <c r="AG40" s="2612">
        <f ca="1">OFFSET(AG40,0,-1)+1</f>
        <v>13</v>
      </c>
      <c r="AH40" s="2612"/>
      <c r="AI40" s="1378">
        <f ca="1">OFFSET(AI40,0,-2)+1</f>
        <v>14</v>
      </c>
      <c r="AJ40" s="1172">
        <f ca="1">OFFSET(AJ40,0,-1)</f>
        <v>14</v>
      </c>
      <c r="AK40" s="1378">
        <f ca="1">OFFSET(AK40,0,-1)+1</f>
        <v>15</v>
      </c>
      <c r="AL40" s="448"/>
      <c r="AM40" s="448"/>
      <c r="AN40" s="448"/>
      <c r="AO40" s="448"/>
      <c r="AP40" s="448"/>
      <c r="AQ40" s="433">
        <v>0</v>
      </c>
    </row>
    <row r="41" spans="1:43" ht="24" customHeight="1">
      <c r="A41" s="1290" t="s">
        <v>316</v>
      </c>
      <c r="B41" s="1290"/>
      <c r="C41" s="1290"/>
      <c r="D41" s="1290"/>
      <c r="E41" s="260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189</v>
      </c>
      <c r="U41" s="237"/>
      <c r="V41" s="2595"/>
      <c r="W41" s="2596"/>
      <c r="X41" s="2596"/>
      <c r="Y41" s="2596"/>
      <c r="Z41" s="2596"/>
      <c r="AA41" s="2596"/>
      <c r="AB41" s="2597"/>
      <c r="AC41" s="2595" t="str">
        <f>INDEX(PT_DIFFERENTIATION_NTAR,MATCH(A41,PT_DIFFERENTIATION_NTAR_ID,0))</f>
        <v/>
      </c>
      <c r="AD41" s="2596"/>
      <c r="AE41" s="2596"/>
      <c r="AF41" s="2596"/>
      <c r="AG41" s="2596"/>
      <c r="AH41" s="2596"/>
      <c r="AI41" s="2596"/>
      <c r="AJ41" s="259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316</v>
      </c>
      <c r="B42" s="1290" t="s">
        <v>317</v>
      </c>
      <c r="C42" s="1290"/>
      <c r="D42" s="1290"/>
      <c r="E42" s="2602"/>
      <c r="F42" s="2601">
        <v>1</v>
      </c>
      <c r="G42" s="1290"/>
      <c r="H42" s="1290"/>
      <c r="I42" s="1290"/>
      <c r="J42" s="1290"/>
      <c r="K42" s="1290"/>
      <c r="L42" s="1291"/>
      <c r="M42" s="1292"/>
      <c r="N42" s="1292"/>
      <c r="O42" s="1292"/>
      <c r="P42" s="1380"/>
      <c r="Q42" s="289"/>
      <c r="R42" s="290"/>
      <c r="S42" s="1384" t="str">
        <f>INDEX(PT_DIFFERENTIATION_NUM_TER,MATCH(B42,PT_DIFFERENTIATION_TER_ID,0))</f>
        <v>.</v>
      </c>
      <c r="T42" s="245" t="s">
        <v>477</v>
      </c>
      <c r="U42" s="237"/>
      <c r="V42" s="2595"/>
      <c r="W42" s="2596"/>
      <c r="X42" s="2596"/>
      <c r="Y42" s="2596"/>
      <c r="Z42" s="2596"/>
      <c r="AA42" s="2596"/>
      <c r="AB42" s="2597"/>
      <c r="AC42" s="2595" t="str">
        <f>INDEX(PT_DIFFERENTIATION_TER,MATCH(B42,PT_DIFFERENTIATION_TER_ID,0))</f>
        <v/>
      </c>
      <c r="AD42" s="2596"/>
      <c r="AE42" s="2596"/>
      <c r="AF42" s="2596"/>
      <c r="AG42" s="2596"/>
      <c r="AH42" s="2596"/>
      <c r="AI42" s="2596"/>
      <c r="AJ42" s="2597"/>
      <c r="AK42" s="1185" t="s">
        <v>478</v>
      </c>
      <c r="AM42" s="437"/>
      <c r="AN42" s="437" t="str">
        <f t="shared" si="1"/>
        <v>Территория действия тарифа</v>
      </c>
      <c r="AO42" s="437"/>
      <c r="AP42" s="437"/>
      <c r="AQ42" s="1082">
        <v>23</v>
      </c>
    </row>
    <row r="43" spans="1:43" ht="24" customHeight="1">
      <c r="A43" s="1290" t="s">
        <v>316</v>
      </c>
      <c r="B43" s="1290" t="s">
        <v>317</v>
      </c>
      <c r="C43" s="1290" t="s">
        <v>318</v>
      </c>
      <c r="D43" s="1290"/>
      <c r="E43" s="2602"/>
      <c r="F43" s="2602"/>
      <c r="G43" s="2601">
        <v>1</v>
      </c>
      <c r="H43" s="1290"/>
      <c r="I43" s="1290"/>
      <c r="J43" s="1290"/>
      <c r="K43" s="1290"/>
      <c r="L43" s="1291"/>
      <c r="M43" s="1292"/>
      <c r="N43" s="1292"/>
      <c r="O43" s="1292"/>
      <c r="P43" s="291"/>
      <c r="Q43" s="289"/>
      <c r="R43" s="290"/>
      <c r="S43" s="1384" t="str">
        <f>INDEX(PT_DIFFERENTIATION_NUM_CS,MATCH(C43,PT_DIFFERENTIATION_CS_ID,0))</f>
        <v>..</v>
      </c>
      <c r="T43" s="246" t="s">
        <v>558</v>
      </c>
      <c r="U43" s="237"/>
      <c r="V43" s="2595"/>
      <c r="W43" s="2596"/>
      <c r="X43" s="2596"/>
      <c r="Y43" s="2596"/>
      <c r="Z43" s="2596"/>
      <c r="AA43" s="2596"/>
      <c r="AB43" s="2597"/>
      <c r="AC43" s="2595" t="str">
        <f>INDEX(PT_DIFFERENTIATION_CS,MATCH(C43,PT_DIFFERENTIATION_CS_ID,0))</f>
        <v/>
      </c>
      <c r="AD43" s="2596"/>
      <c r="AE43" s="2596"/>
      <c r="AF43" s="2596"/>
      <c r="AG43" s="2596"/>
      <c r="AH43" s="2596"/>
      <c r="AI43" s="2596"/>
      <c r="AJ43" s="2597"/>
      <c r="AK43" s="1185" t="s">
        <v>559</v>
      </c>
      <c r="AM43" s="437"/>
      <c r="AN43" s="437" t="str">
        <f t="shared" si="1"/>
        <v>Наименование централизованной системы холодного водоснабжения</v>
      </c>
      <c r="AO43" s="437"/>
      <c r="AP43" s="437"/>
      <c r="AQ43" s="1082">
        <v>23</v>
      </c>
    </row>
    <row r="44" spans="1:43" ht="24" customHeight="1">
      <c r="A44" s="1290" t="s">
        <v>316</v>
      </c>
      <c r="B44" s="1290" t="s">
        <v>317</v>
      </c>
      <c r="C44" s="1290" t="s">
        <v>318</v>
      </c>
      <c r="D44" s="1290" t="s">
        <v>576</v>
      </c>
      <c r="E44" s="2602"/>
      <c r="F44" s="2602"/>
      <c r="G44" s="2602"/>
      <c r="H44" s="2602"/>
      <c r="I44" s="2603" t="str">
        <f>S43&amp;".1"</f>
        <v>...1</v>
      </c>
      <c r="J44" s="1290"/>
      <c r="K44" s="1290"/>
      <c r="L44" s="1291"/>
      <c r="P44" s="2605">
        <v>1</v>
      </c>
      <c r="Q44" s="1377"/>
      <c r="R44" s="293"/>
      <c r="S44" s="1384" t="str">
        <f>$I44</f>
        <v>...1</v>
      </c>
      <c r="T44" s="222" t="s">
        <v>560</v>
      </c>
      <c r="U44" s="237"/>
      <c r="V44" s="2669"/>
      <c r="W44" s="2670"/>
      <c r="X44" s="2670"/>
      <c r="Y44" s="2670"/>
      <c r="Z44" s="2670"/>
      <c r="AA44" s="2670"/>
      <c r="AB44" s="2671"/>
      <c r="AC44" s="2672"/>
      <c r="AD44" s="2673"/>
      <c r="AE44" s="2673"/>
      <c r="AF44" s="2673"/>
      <c r="AG44" s="2673"/>
      <c r="AH44" s="2673"/>
      <c r="AI44" s="2673"/>
      <c r="AJ44" s="2674"/>
      <c r="AK44" s="1185" t="s">
        <v>561</v>
      </c>
      <c r="AM44" s="437"/>
      <c r="AN44" s="437" t="str">
        <f t="shared" si="1"/>
        <v>Наименование признака дифференциации</v>
      </c>
      <c r="AO44" s="437"/>
      <c r="AP44" s="437"/>
      <c r="AQ44" s="1082">
        <v>23</v>
      </c>
    </row>
    <row r="45" spans="1:43" ht="24" customHeight="1">
      <c r="A45" s="1290" t="s">
        <v>316</v>
      </c>
      <c r="B45" s="1290" t="s">
        <v>317</v>
      </c>
      <c r="C45" s="1290" t="s">
        <v>318</v>
      </c>
      <c r="D45" s="1290" t="s">
        <v>576</v>
      </c>
      <c r="E45" s="2602"/>
      <c r="F45" s="2602"/>
      <c r="G45" s="2602"/>
      <c r="H45" s="2602"/>
      <c r="I45" s="2604"/>
      <c r="J45" s="2603" t="str">
        <f>I44&amp;".1"</f>
        <v>...1.1</v>
      </c>
      <c r="K45" s="1290"/>
      <c r="L45" s="1291" t="s">
        <v>486</v>
      </c>
      <c r="P45" s="2605"/>
      <c r="Q45" s="2605">
        <v>1</v>
      </c>
      <c r="R45" s="294"/>
      <c r="S45" s="1384" t="str">
        <f>$J45</f>
        <v>...1.1</v>
      </c>
      <c r="T45" s="223" t="s">
        <v>487</v>
      </c>
      <c r="U45" s="237"/>
      <c r="V45" s="2589"/>
      <c r="W45" s="2590"/>
      <c r="X45" s="2590"/>
      <c r="Y45" s="2590"/>
      <c r="Z45" s="2590"/>
      <c r="AA45" s="2590"/>
      <c r="AB45" s="2591"/>
      <c r="AC45" s="2589"/>
      <c r="AD45" s="2590"/>
      <c r="AE45" s="2590"/>
      <c r="AF45" s="2590"/>
      <c r="AG45" s="2590"/>
      <c r="AH45" s="2590"/>
      <c r="AI45" s="2590"/>
      <c r="AJ45" s="2591"/>
      <c r="AK45" s="1234" t="s">
        <v>562</v>
      </c>
      <c r="AM45" s="437"/>
      <c r="AN45" s="437" t="str">
        <f t="shared" si="1"/>
        <v>Группа потребителей</v>
      </c>
      <c r="AO45" s="437"/>
      <c r="AP45" s="437"/>
      <c r="AQ45" s="1082">
        <v>23</v>
      </c>
    </row>
    <row r="46" spans="1:43" ht="24" customHeight="1">
      <c r="A46" s="1290" t="s">
        <v>316</v>
      </c>
      <c r="B46" s="1290" t="s">
        <v>317</v>
      </c>
      <c r="C46" s="1290" t="s">
        <v>318</v>
      </c>
      <c r="D46" s="1290" t="s">
        <v>576</v>
      </c>
      <c r="E46" s="2602"/>
      <c r="F46" s="2602"/>
      <c r="G46" s="2602"/>
      <c r="H46" s="2602"/>
      <c r="I46" s="2604"/>
      <c r="J46" s="2604"/>
      <c r="K46" s="2603" t="str">
        <f>J45&amp;".1"</f>
        <v>...1.1.1</v>
      </c>
      <c r="L46" s="1291"/>
      <c r="P46" s="2605"/>
      <c r="Q46" s="2605"/>
      <c r="R46" s="294">
        <v>1</v>
      </c>
      <c r="S46" s="1384" t="str">
        <f>$K46</f>
        <v>...1.1.1</v>
      </c>
      <c r="T46" s="1364"/>
      <c r="U46" s="237"/>
      <c r="V46" s="688"/>
      <c r="W46" s="688"/>
      <c r="X46" s="1184"/>
      <c r="Y46" s="2606"/>
      <c r="Z46" s="2471" t="s">
        <v>66</v>
      </c>
      <c r="AA46" s="2606"/>
      <c r="AB46" s="2471" t="s">
        <v>66</v>
      </c>
      <c r="AC46" s="688"/>
      <c r="AD46" s="688"/>
      <c r="AE46" s="1184"/>
      <c r="AF46" s="2606"/>
      <c r="AG46" s="2471" t="s">
        <v>66</v>
      </c>
      <c r="AH46" s="2608"/>
      <c r="AI46" s="2471" t="s">
        <v>66</v>
      </c>
      <c r="AJ46" s="1365"/>
      <c r="AK4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316</v>
      </c>
      <c r="B47" s="1290" t="s">
        <v>317</v>
      </c>
      <c r="C47" s="1290" t="s">
        <v>318</v>
      </c>
      <c r="D47" s="1290" t="s">
        <v>576</v>
      </c>
      <c r="E47" s="2602"/>
      <c r="F47" s="2602"/>
      <c r="G47" s="2602"/>
      <c r="H47" s="2602"/>
      <c r="I47" s="2604"/>
      <c r="J47" s="2604"/>
      <c r="K47" s="2603"/>
      <c r="L47" s="1291"/>
      <c r="P47" s="2605"/>
      <c r="Q47" s="2605"/>
      <c r="R47" s="294"/>
      <c r="S47" s="1383"/>
      <c r="T47" s="237"/>
      <c r="U47" s="237"/>
      <c r="V47" s="262"/>
      <c r="W47" s="262"/>
      <c r="X47" s="265" t="str">
        <f>Y46&amp;"-"&amp;AA46</f>
        <v>-</v>
      </c>
      <c r="Y47" s="2607"/>
      <c r="Z47" s="2471"/>
      <c r="AA47" s="2607"/>
      <c r="AB47" s="2471"/>
      <c r="AC47" s="262"/>
      <c r="AD47" s="262"/>
      <c r="AE47" s="265" t="str">
        <f>AF46&amp;"-"&amp;AH46</f>
        <v>-</v>
      </c>
      <c r="AF47" s="2607"/>
      <c r="AG47" s="2471"/>
      <c r="AH47" s="2609"/>
      <c r="AI47" s="2471"/>
      <c r="AJ47" s="1366"/>
      <c r="AK47" s="2675"/>
      <c r="AM47" s="437"/>
      <c r="AN47" s="437" t="str">
        <f t="shared" si="1"/>
        <v/>
      </c>
      <c r="AO47" s="437"/>
      <c r="AP47" s="437"/>
      <c r="AQ47" s="1082">
        <v>0</v>
      </c>
    </row>
    <row r="48" spans="1:43" ht="21" customHeight="1">
      <c r="A48" s="1290" t="s">
        <v>316</v>
      </c>
      <c r="B48" s="1290" t="s">
        <v>317</v>
      </c>
      <c r="C48" s="1290" t="s">
        <v>318</v>
      </c>
      <c r="D48" s="1290" t="s">
        <v>576</v>
      </c>
      <c r="E48" s="2602"/>
      <c r="F48" s="2602"/>
      <c r="G48" s="2602"/>
      <c r="H48" s="2602"/>
      <c r="I48" s="2604"/>
      <c r="J48" s="2603"/>
      <c r="K48" s="1290"/>
      <c r="L48" s="1291"/>
      <c r="P48" s="2605"/>
      <c r="Q48" s="2605"/>
      <c r="R48" s="293"/>
      <c r="S48" s="1205"/>
      <c r="T48" s="224" t="s">
        <v>563</v>
      </c>
      <c r="U48" s="304"/>
      <c r="V48" s="304"/>
      <c r="W48" s="304"/>
      <c r="X48" s="304"/>
      <c r="Y48" s="304"/>
      <c r="Z48" s="304"/>
      <c r="AA48" s="304"/>
      <c r="AB48" s="304"/>
      <c r="AC48" s="304"/>
      <c r="AD48" s="304"/>
      <c r="AE48" s="304"/>
      <c r="AF48" s="304"/>
      <c r="AG48" s="304"/>
      <c r="AH48" s="304"/>
      <c r="AI48" s="304"/>
      <c r="AJ48" s="304"/>
      <c r="AK48" s="1185" t="s">
        <v>564</v>
      </c>
      <c r="AM48" s="437"/>
      <c r="AN48" s="437" t="str">
        <f t="shared" si="1"/>
        <v>Добавить значение признака дифференциации</v>
      </c>
      <c r="AO48" s="437"/>
      <c r="AP48" s="437"/>
      <c r="AQ48" s="1082">
        <v>20</v>
      </c>
    </row>
    <row r="49" spans="1:43" ht="21.95" customHeight="1">
      <c r="A49" s="1290" t="s">
        <v>316</v>
      </c>
      <c r="B49" s="1290" t="s">
        <v>317</v>
      </c>
      <c r="C49" s="1290" t="s">
        <v>318</v>
      </c>
      <c r="D49" s="1290" t="s">
        <v>576</v>
      </c>
      <c r="E49" s="2602"/>
      <c r="F49" s="2602"/>
      <c r="G49" s="2602"/>
      <c r="H49" s="2602"/>
      <c r="I49" s="2603"/>
      <c r="J49" s="1290"/>
      <c r="K49" s="1290"/>
      <c r="L49" s="1291"/>
      <c r="P49" s="2605"/>
      <c r="Q49" s="1377"/>
      <c r="R49" s="293"/>
      <c r="S49" s="1205"/>
      <c r="T49" s="302" t="s">
        <v>492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316</v>
      </c>
      <c r="B50" s="1290" t="s">
        <v>317</v>
      </c>
      <c r="C50" s="1290" t="s">
        <v>318</v>
      </c>
      <c r="D50" s="1290" t="s">
        <v>576</v>
      </c>
      <c r="E50" s="2602"/>
      <c r="F50" s="2602"/>
      <c r="G50" s="2602"/>
      <c r="H50" s="2601"/>
      <c r="I50" s="1290"/>
      <c r="J50" s="1290"/>
      <c r="K50" s="1290"/>
      <c r="L50" s="1291"/>
      <c r="M50" s="1292"/>
      <c r="N50" s="1292"/>
      <c r="O50" s="474"/>
      <c r="P50" s="297"/>
      <c r="Q50" s="312"/>
      <c r="R50" s="292"/>
      <c r="S50" s="1205"/>
      <c r="T50" s="309" t="s">
        <v>565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316</v>
      </c>
      <c r="B51" s="1270" t="s">
        <v>317</v>
      </c>
      <c r="C51" s="1241"/>
      <c r="D51" s="1241"/>
      <c r="E51" s="2602"/>
      <c r="F51" s="2601"/>
      <c r="G51" s="1241"/>
      <c r="H51" s="1241"/>
      <c r="I51" s="1241"/>
      <c r="J51" s="1241"/>
      <c r="K51" s="1241"/>
      <c r="L51" s="1385"/>
      <c r="M51" s="1248"/>
      <c r="N51" s="1248"/>
      <c r="P51" s="1243"/>
      <c r="Q51" s="1244"/>
      <c r="R51" s="1243"/>
      <c r="S51" s="1249"/>
      <c r="T51" s="1252" t="s">
        <v>295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316</v>
      </c>
      <c r="B52" s="1270"/>
      <c r="C52" s="1270"/>
      <c r="D52" s="1270"/>
      <c r="E52" s="2601"/>
      <c r="F52" s="1270"/>
      <c r="G52" s="1270"/>
      <c r="H52" s="1270"/>
      <c r="I52" s="1270"/>
      <c r="J52" s="1270"/>
      <c r="K52" s="1270"/>
      <c r="L52" s="1273"/>
      <c r="M52" s="1248"/>
      <c r="N52" s="1248"/>
      <c r="O52" s="455"/>
      <c r="P52" s="317"/>
      <c r="Q52" s="1271"/>
      <c r="R52" s="317"/>
      <c r="S52" s="1249"/>
      <c r="T52" s="1252" t="s">
        <v>299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300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00"/>
      <c r="U55" s="2600"/>
      <c r="V55" s="2600"/>
      <c r="W55" s="2600"/>
      <c r="X55" s="2600"/>
      <c r="Y55" s="2600"/>
      <c r="Z55" s="2600"/>
      <c r="AA55" s="2600"/>
      <c r="AB55" s="2600"/>
      <c r="AC55" s="2600"/>
      <c r="AD55" s="2600"/>
      <c r="AE55" s="2600"/>
      <c r="AF55" s="2600"/>
      <c r="AG55" s="2600"/>
      <c r="AH55" s="2600"/>
      <c r="AI55" s="2600"/>
      <c r="AJ55" s="2600"/>
      <c r="AK55" s="2600"/>
      <c r="AQ55" s="1082">
        <v>14</v>
      </c>
    </row>
    <row r="56" spans="1:43" ht="14.65" customHeight="1">
      <c r="O56" s="474"/>
      <c r="AQ56" s="1082">
        <v>14</v>
      </c>
    </row>
    <row r="57" spans="1:43" ht="14.65" customHeight="1">
      <c r="O57" s="474"/>
      <c r="S57" s="1180"/>
      <c r="T57" s="2600"/>
      <c r="U57" s="2600"/>
      <c r="V57" s="2600"/>
      <c r="W57" s="2600"/>
      <c r="X57" s="2600"/>
      <c r="Y57" s="2600"/>
      <c r="Z57" s="2600"/>
      <c r="AA57" s="2600"/>
      <c r="AB57" s="2600"/>
      <c r="AC57" s="2600"/>
      <c r="AD57" s="2600"/>
      <c r="AE57" s="2600"/>
      <c r="AF57" s="2600"/>
      <c r="AG57" s="2600"/>
      <c r="AH57" s="2600"/>
      <c r="AI57" s="2600"/>
      <c r="AJ57" s="2600"/>
      <c r="AK57" s="260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01">
        <v>1</v>
      </c>
      <c r="F2" s="1290"/>
      <c r="G2" s="1290"/>
      <c r="H2" s="1290"/>
      <c r="I2" s="1290"/>
      <c r="J2" s="1290"/>
      <c r="K2" s="1290"/>
      <c r="L2" s="1291"/>
      <c r="M2" s="1292"/>
      <c r="N2" s="1292"/>
      <c r="O2" s="1292"/>
      <c r="P2" s="298"/>
      <c r="Q2" s="297"/>
      <c r="R2" s="292"/>
      <c r="S2" s="1384" t="e">
        <f>INDEX(PT_DIFFERENTIATION_NUM_NTAR,MATCH(A2,PT_DIFFERENTIATION_NTAR_ID,0))</f>
        <v>#N/A</v>
      </c>
      <c r="T2" s="235" t="s">
        <v>189</v>
      </c>
      <c r="U2" s="237"/>
      <c r="V2" s="2595"/>
      <c r="W2" s="2596"/>
      <c r="X2" s="2596"/>
      <c r="Y2" s="2596"/>
      <c r="Z2" s="2596"/>
      <c r="AA2" s="2596"/>
      <c r="AB2" s="2597"/>
      <c r="AC2" s="2595" t="e">
        <f>INDEX(PT_DIFFERENTIATION_NTAR,MATCH(A2,PT_DIFFERENTIATION_NTAR_ID,0))</f>
        <v>#N/A</v>
      </c>
      <c r="AD2" s="2596"/>
      <c r="AE2" s="2596"/>
      <c r="AF2" s="2596"/>
      <c r="AG2" s="2596"/>
      <c r="AH2" s="2596"/>
      <c r="AI2" s="2596"/>
      <c r="AJ2" s="259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02"/>
      <c r="F3" s="2601">
        <v>1</v>
      </c>
      <c r="G3" s="1290"/>
      <c r="H3" s="1290"/>
      <c r="I3" s="1290"/>
      <c r="J3" s="1290"/>
      <c r="K3" s="1290"/>
      <c r="L3" s="1291"/>
      <c r="M3" s="1292"/>
      <c r="N3" s="1292"/>
      <c r="O3" s="1292"/>
      <c r="P3" s="1380"/>
      <c r="Q3" s="289"/>
      <c r="R3" s="290"/>
      <c r="S3" s="1384" t="e">
        <f>INDEX(PT_DIFFERENTIATION_NUM_TER,MATCH(B3,PT_DIFFERENTIATION_TER_ID,0))</f>
        <v>#N/A</v>
      </c>
      <c r="T3" s="245" t="s">
        <v>477</v>
      </c>
      <c r="U3" s="237"/>
      <c r="V3" s="2595"/>
      <c r="W3" s="2596"/>
      <c r="X3" s="2596"/>
      <c r="Y3" s="2596"/>
      <c r="Z3" s="2596"/>
      <c r="AA3" s="2596"/>
      <c r="AB3" s="2597"/>
      <c r="AC3" s="2595" t="e">
        <f>INDEX(PT_DIFFERENTIATION_TER,MATCH(B3,PT_DIFFERENTIATION_TER_ID,0))</f>
        <v>#N/A</v>
      </c>
      <c r="AD3" s="2596"/>
      <c r="AE3" s="2596"/>
      <c r="AF3" s="2596"/>
      <c r="AG3" s="2596"/>
      <c r="AH3" s="2596"/>
      <c r="AI3" s="2596"/>
      <c r="AJ3" s="2597"/>
      <c r="AK3" s="1185" t="s">
        <v>478</v>
      </c>
      <c r="AM3" s="437"/>
      <c r="AN3" s="437" t="str">
        <f t="shared" si="0"/>
        <v>Территория действия тарифа</v>
      </c>
      <c r="AO3" s="437"/>
      <c r="AP3" s="437"/>
      <c r="AQ3" s="1082">
        <v>0</v>
      </c>
    </row>
    <row r="4" spans="1:43" ht="23.25" hidden="1" customHeight="1">
      <c r="A4" s="1290"/>
      <c r="B4" s="1290"/>
      <c r="C4" s="1290"/>
      <c r="D4" s="1290"/>
      <c r="E4" s="2602"/>
      <c r="F4" s="2602"/>
      <c r="G4" s="2601">
        <v>1</v>
      </c>
      <c r="H4" s="1290"/>
      <c r="I4" s="1290"/>
      <c r="J4" s="1290"/>
      <c r="K4" s="1290"/>
      <c r="L4" s="1291"/>
      <c r="M4" s="1292"/>
      <c r="N4" s="1292"/>
      <c r="O4" s="1292"/>
      <c r="P4" s="291"/>
      <c r="Q4" s="289"/>
      <c r="R4" s="290"/>
      <c r="S4" s="1384" t="e">
        <f>INDEX(PT_DIFFERENTIATION_NUM_CS,MATCH(C4,PT_DIFFERENTIATION_CS_ID,0))</f>
        <v>#N/A</v>
      </c>
      <c r="T4" s="246" t="s">
        <v>558</v>
      </c>
      <c r="U4" s="237"/>
      <c r="V4" s="2595"/>
      <c r="W4" s="2596"/>
      <c r="X4" s="2596"/>
      <c r="Y4" s="2596"/>
      <c r="Z4" s="2596"/>
      <c r="AA4" s="2596"/>
      <c r="AB4" s="2597"/>
      <c r="AC4" s="2595" t="e">
        <f>INDEX(PT_DIFFERENTIATION_CS,MATCH(C4,PT_DIFFERENTIATION_CS_ID,0))</f>
        <v>#N/A</v>
      </c>
      <c r="AD4" s="2596"/>
      <c r="AE4" s="2596"/>
      <c r="AF4" s="2596"/>
      <c r="AG4" s="2596"/>
      <c r="AH4" s="2596"/>
      <c r="AI4" s="2596"/>
      <c r="AJ4" s="2597"/>
      <c r="AK4" s="1185" t="s">
        <v>559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602"/>
      <c r="F5" s="2602"/>
      <c r="G5" s="2602"/>
      <c r="H5" s="2602"/>
      <c r="I5" s="2603" t="e">
        <f>S4&amp;".1"</f>
        <v>#N/A</v>
      </c>
      <c r="J5" s="1290"/>
      <c r="K5" s="1290"/>
      <c r="L5" s="1291"/>
      <c r="P5" s="2605">
        <v>1</v>
      </c>
      <c r="Q5" s="1377"/>
      <c r="R5" s="293"/>
      <c r="S5" s="1384" t="e">
        <f>$I5</f>
        <v>#N/A</v>
      </c>
      <c r="T5" s="222" t="s">
        <v>560</v>
      </c>
      <c r="U5" s="237"/>
      <c r="V5" s="2669"/>
      <c r="W5" s="2670"/>
      <c r="X5" s="2670"/>
      <c r="Y5" s="2670"/>
      <c r="Z5" s="2670"/>
      <c r="AA5" s="2670"/>
      <c r="AB5" s="2671"/>
      <c r="AC5" s="2672"/>
      <c r="AD5" s="2673"/>
      <c r="AE5" s="2673"/>
      <c r="AF5" s="2673"/>
      <c r="AG5" s="2673"/>
      <c r="AH5" s="2673"/>
      <c r="AI5" s="2673"/>
      <c r="AJ5" s="2674"/>
      <c r="AK5" s="1185" t="s">
        <v>561</v>
      </c>
      <c r="AM5" s="437"/>
      <c r="AN5" s="437" t="str">
        <f t="shared" si="0"/>
        <v>Наименование признака дифференциации</v>
      </c>
      <c r="AO5" s="437"/>
      <c r="AP5" s="437"/>
      <c r="AQ5" s="1082">
        <v>0</v>
      </c>
    </row>
    <row r="6" spans="1:43" ht="23.25" hidden="1" customHeight="1">
      <c r="A6" s="1290"/>
      <c r="B6" s="1290"/>
      <c r="C6" s="1290"/>
      <c r="D6" s="1290"/>
      <c r="E6" s="2602"/>
      <c r="F6" s="2602"/>
      <c r="G6" s="2602"/>
      <c r="H6" s="2602"/>
      <c r="I6" s="2604"/>
      <c r="J6" s="2603" t="e">
        <f>I5&amp;".1"</f>
        <v>#N/A</v>
      </c>
      <c r="K6" s="1290"/>
      <c r="L6" s="1291" t="s">
        <v>486</v>
      </c>
      <c r="P6" s="2605"/>
      <c r="Q6" s="2605">
        <v>1</v>
      </c>
      <c r="R6" s="294"/>
      <c r="S6" s="1384" t="e">
        <f>$J6</f>
        <v>#N/A</v>
      </c>
      <c r="T6" s="223" t="s">
        <v>487</v>
      </c>
      <c r="U6" s="237"/>
      <c r="V6" s="2589"/>
      <c r="W6" s="2590"/>
      <c r="X6" s="2590"/>
      <c r="Y6" s="2590"/>
      <c r="Z6" s="2590"/>
      <c r="AA6" s="2590"/>
      <c r="AB6" s="2591"/>
      <c r="AC6" s="2589"/>
      <c r="AD6" s="2590"/>
      <c r="AE6" s="2590"/>
      <c r="AF6" s="2590"/>
      <c r="AG6" s="2590"/>
      <c r="AH6" s="2590"/>
      <c r="AI6" s="2590"/>
      <c r="AJ6" s="2591"/>
      <c r="AK6" s="1234" t="s">
        <v>562</v>
      </c>
      <c r="AM6" s="437"/>
      <c r="AN6" s="437" t="str">
        <f t="shared" si="0"/>
        <v>Группа потребителей</v>
      </c>
      <c r="AO6" s="437"/>
      <c r="AP6" s="437"/>
      <c r="AQ6" s="1082">
        <v>0</v>
      </c>
    </row>
    <row r="7" spans="1:43" ht="23.25" hidden="1" customHeight="1">
      <c r="A7" s="1290"/>
      <c r="B7" s="1290"/>
      <c r="C7" s="1290"/>
      <c r="D7" s="1290"/>
      <c r="E7" s="2602"/>
      <c r="F7" s="2602"/>
      <c r="G7" s="2602"/>
      <c r="H7" s="2602"/>
      <c r="I7" s="2604"/>
      <c r="J7" s="2604"/>
      <c r="K7" s="2603" t="e">
        <f>J6&amp;".1"</f>
        <v>#N/A</v>
      </c>
      <c r="L7" s="1291"/>
      <c r="P7" s="2605"/>
      <c r="Q7" s="2605"/>
      <c r="R7" s="294">
        <v>1</v>
      </c>
      <c r="S7" s="1384" t="e">
        <f>$K7</f>
        <v>#N/A</v>
      </c>
      <c r="T7" s="1364"/>
      <c r="U7" s="237"/>
      <c r="V7" s="688"/>
      <c r="W7" s="688"/>
      <c r="X7" s="1184"/>
      <c r="Y7" s="2606"/>
      <c r="Z7" s="2471" t="s">
        <v>66</v>
      </c>
      <c r="AA7" s="2606"/>
      <c r="AB7" s="2471" t="s">
        <v>66</v>
      </c>
      <c r="AC7" s="688"/>
      <c r="AD7" s="688"/>
      <c r="AE7" s="1184"/>
      <c r="AF7" s="2606"/>
      <c r="AG7" s="2471" t="s">
        <v>66</v>
      </c>
      <c r="AH7" s="2608"/>
      <c r="AI7" s="2471" t="s">
        <v>66</v>
      </c>
      <c r="AJ7" s="1365"/>
      <c r="AK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02"/>
      <c r="F8" s="2602"/>
      <c r="G8" s="2602"/>
      <c r="H8" s="2602"/>
      <c r="I8" s="2604"/>
      <c r="J8" s="2604"/>
      <c r="K8" s="2603"/>
      <c r="L8" s="1291"/>
      <c r="P8" s="2605"/>
      <c r="Q8" s="2605"/>
      <c r="R8" s="294"/>
      <c r="S8" s="1383"/>
      <c r="T8" s="237"/>
      <c r="U8" s="237"/>
      <c r="V8" s="262"/>
      <c r="W8" s="262"/>
      <c r="X8" s="265" t="str">
        <f>Y7&amp;"-"&amp;AA7</f>
        <v>-</v>
      </c>
      <c r="Y8" s="2607"/>
      <c r="Z8" s="2471"/>
      <c r="AA8" s="2607"/>
      <c r="AB8" s="2471"/>
      <c r="AC8" s="262"/>
      <c r="AD8" s="262"/>
      <c r="AE8" s="265" t="str">
        <f>AF7&amp;"-"&amp;AH7</f>
        <v>-</v>
      </c>
      <c r="AF8" s="2607"/>
      <c r="AG8" s="2471"/>
      <c r="AH8" s="2609"/>
      <c r="AI8" s="2471"/>
      <c r="AJ8" s="1366"/>
      <c r="AK8" s="2675"/>
      <c r="AM8" s="437"/>
      <c r="AN8" s="437" t="str">
        <f t="shared" si="0"/>
        <v/>
      </c>
      <c r="AO8" s="437"/>
      <c r="AP8" s="437"/>
      <c r="AQ8" s="1082">
        <v>0</v>
      </c>
    </row>
    <row r="9" spans="1:43" ht="21" hidden="1" customHeight="1">
      <c r="A9" s="1290"/>
      <c r="B9" s="1290"/>
      <c r="C9" s="1290"/>
      <c r="D9" s="1290"/>
      <c r="E9" s="2602"/>
      <c r="F9" s="2602"/>
      <c r="G9" s="2602"/>
      <c r="H9" s="2602"/>
      <c r="I9" s="2604"/>
      <c r="J9" s="2603"/>
      <c r="K9" s="1290"/>
      <c r="L9" s="1291"/>
      <c r="P9" s="2605"/>
      <c r="Q9" s="2605"/>
      <c r="R9" s="293"/>
      <c r="S9" s="1205"/>
      <c r="T9" s="224" t="s">
        <v>563</v>
      </c>
      <c r="U9" s="304"/>
      <c r="V9" s="304"/>
      <c r="W9" s="304"/>
      <c r="X9" s="304"/>
      <c r="Y9" s="304"/>
      <c r="Z9" s="304"/>
      <c r="AA9" s="304"/>
      <c r="AB9" s="304"/>
      <c r="AC9" s="304"/>
      <c r="AD9" s="304"/>
      <c r="AE9" s="304"/>
      <c r="AF9" s="304"/>
      <c r="AG9" s="304"/>
      <c r="AH9" s="304"/>
      <c r="AI9" s="304"/>
      <c r="AJ9" s="304"/>
      <c r="AK9" s="1185" t="s">
        <v>564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02"/>
      <c r="F10" s="2602"/>
      <c r="G10" s="2602"/>
      <c r="H10" s="2602"/>
      <c r="I10" s="2603"/>
      <c r="J10" s="1290"/>
      <c r="K10" s="1290"/>
      <c r="L10" s="1291"/>
      <c r="P10" s="2605"/>
      <c r="Q10" s="1377"/>
      <c r="R10" s="293"/>
      <c r="S10" s="1205"/>
      <c r="T10" s="302" t="s">
        <v>492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02"/>
      <c r="F12" s="2601"/>
      <c r="G12" s="1241"/>
      <c r="H12" s="1241"/>
      <c r="I12" s="1241"/>
      <c r="J12" s="1241"/>
      <c r="K12" s="1241"/>
      <c r="L12" s="1385"/>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99"/>
      <c r="AG15" s="2598" t="s">
        <v>66</v>
      </c>
      <c r="AH15" s="2599"/>
      <c r="AI15" s="2598" t="s">
        <v>66</v>
      </c>
      <c r="AQ15" s="1082">
        <v>0</v>
      </c>
    </row>
    <row r="16" spans="1:43" ht="14.25" hidden="1" customHeight="1">
      <c r="AC16" s="1287"/>
      <c r="AD16" s="1287"/>
      <c r="AE16" s="265" t="str">
        <f>AF15&amp;"-"&amp;AH15</f>
        <v>-</v>
      </c>
      <c r="AF16" s="2598"/>
      <c r="AG16" s="2598"/>
      <c r="AH16" s="2598"/>
      <c r="AI16" s="2598"/>
      <c r="AQ16" s="1082">
        <v>0</v>
      </c>
    </row>
    <row r="17" spans="1:43" ht="14.25" hidden="1" customHeight="1">
      <c r="AI17" s="264"/>
      <c r="AQ17" s="1082">
        <v>0</v>
      </c>
    </row>
    <row r="18" spans="1:43" s="1293" customFormat="1" ht="22.5" hidden="1" customHeight="1">
      <c r="L18" s="1374"/>
      <c r="M18" s="1289"/>
      <c r="N18" s="1289"/>
      <c r="O18" s="1294" t="s">
        <v>495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496</v>
      </c>
      <c r="P20" s="1289"/>
      <c r="Q20" s="1369"/>
      <c r="R20" s="1369"/>
      <c r="S20" s="666"/>
      <c r="T20" s="1087" t="s">
        <v>497</v>
      </c>
      <c r="Z20" s="123" t="s">
        <v>498</v>
      </c>
      <c r="AB20" s="123" t="s">
        <v>499</v>
      </c>
      <c r="AC20" s="1087" t="s">
        <v>497</v>
      </c>
      <c r="AG20" s="123" t="s">
        <v>500</v>
      </c>
      <c r="AI20" s="123" t="s">
        <v>499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8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82"/>
      <c r="U24" s="2582"/>
      <c r="V24" s="2582"/>
      <c r="W24" s="2582"/>
      <c r="X24" s="2582"/>
      <c r="Y24" s="2582"/>
      <c r="Z24" s="2582"/>
      <c r="AA24" s="2582"/>
      <c r="AB24" s="2582"/>
      <c r="AC24" s="2582"/>
      <c r="AD24" s="2582"/>
      <c r="AE24" s="2582"/>
      <c r="AF24" s="2582"/>
      <c r="AG24" s="2582"/>
      <c r="AH24" s="2582"/>
      <c r="AI24" s="1170"/>
      <c r="AQ24" s="1082">
        <v>14</v>
      </c>
    </row>
    <row r="25" spans="1:43"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63"/>
      <c r="AC27" s="2594" t="str">
        <f>IF(TITLE_NAME_OR_PR_CHANGE="",IF(TITLE_NAME_OR_PR="","",TITLE_NAME_OR_PR),TITLE_NAME_OR_PR_CHANGE)</f>
        <v>Региональная служба по тарифам Ростовской области</v>
      </c>
      <c r="AD27" s="2594"/>
      <c r="AE27" s="2594"/>
      <c r="AF27" s="2594"/>
      <c r="AG27" s="2594"/>
      <c r="AH27" s="2594"/>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63"/>
      <c r="AC28" s="2593">
        <f>IF(TITLE_DATE_PR_CHANGE="",IF(TITLE_DATE_PR="","",TITLE_DATE_PR),TITLE_DATE_PR_CHANGE)</f>
        <v>45596.468541666669</v>
      </c>
      <c r="AD28" s="2593"/>
      <c r="AE28" s="2593"/>
      <c r="AF28" s="2593"/>
      <c r="AG28" s="2593"/>
      <c r="AH28" s="2593"/>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63"/>
      <c r="AC29" s="2594" t="str">
        <f>IF(TITLE_NUMBER_PR_CHANGE="",IF(TITLE_NUMBER_PR="","",TITLE_NUMBER_PR),TITLE_NUMBER_PR_CHANGE)</f>
        <v>440,503</v>
      </c>
      <c r="AD29" s="2594"/>
      <c r="AE29" s="2594"/>
      <c r="AF29" s="2594"/>
      <c r="AG29" s="2594"/>
      <c r="AH29" s="2594"/>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63"/>
      <c r="AC30" s="2594" t="str">
        <f>IF(TITLE_IST_PUB_CHANGE="",IF(TITLE_IST_PUB="","",TITLE_IST_PUB),TITLE_IST_PUB_CHANGE)</f>
        <v>Региональная служба по тарифам Ростовской области</v>
      </c>
      <c r="AD30" s="2594"/>
      <c r="AE30" s="2594"/>
      <c r="AF30" s="2594"/>
      <c r="AG30" s="2594"/>
      <c r="AH30" s="259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63"/>
      <c r="AC32" s="2593">
        <f>IF(TITLE_DATE_PR_CHANGE="",IF(TITLE_DATE_PR="","",TITLE_DATE_PR),TITLE_DATE_PR_CHANGE)</f>
        <v>45596.468541666669</v>
      </c>
      <c r="AD32" s="2593"/>
      <c r="AE32" s="2593"/>
      <c r="AF32" s="2593"/>
      <c r="AG32" s="2593"/>
      <c r="AH32" s="259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63"/>
      <c r="AC33" s="2594" t="str">
        <f>IF(TITLE_NUMBER_PR_CHANGE="",IF(TITLE_NUMBER_PR="","",TITLE_NUMBER_PR),TITLE_NUMBER_PR_CHANGE)</f>
        <v>440,503</v>
      </c>
      <c r="AD33" s="2594"/>
      <c r="AE33" s="2594"/>
      <c r="AF33" s="2594"/>
      <c r="AG33" s="2594"/>
      <c r="AH33" s="259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505</v>
      </c>
      <c r="AC34" s="263"/>
      <c r="AD34" s="263"/>
      <c r="AE34" s="263"/>
      <c r="AF34" s="263"/>
      <c r="AG34" s="263"/>
      <c r="AH34" s="263"/>
      <c r="AI34" s="215" t="s">
        <v>505</v>
      </c>
      <c r="AL34" s="305"/>
      <c r="AM34" s="305"/>
      <c r="AN34" s="305"/>
      <c r="AO34" s="305"/>
      <c r="AP34" s="305"/>
      <c r="AQ34" s="355">
        <v>1</v>
      </c>
    </row>
    <row r="35" spans="1:43" ht="14.65" customHeight="1">
      <c r="Q35" s="313"/>
      <c r="R35" s="313"/>
      <c r="S35" s="1202"/>
      <c r="T35" s="300"/>
      <c r="U35" s="1171"/>
      <c r="V35" s="2613"/>
      <c r="W35" s="2613"/>
      <c r="X35" s="2613"/>
      <c r="Y35" s="2613"/>
      <c r="Z35" s="2613"/>
      <c r="AA35" s="2613"/>
      <c r="AB35" s="2613"/>
      <c r="AC35" s="2613"/>
      <c r="AD35" s="2613"/>
      <c r="AE35" s="2613"/>
      <c r="AF35" s="2613"/>
      <c r="AG35" s="2613"/>
      <c r="AH35" s="2613"/>
      <c r="AI35" s="2613"/>
      <c r="AQ35" s="1082">
        <v>14</v>
      </c>
    </row>
    <row r="36" spans="1:43"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c r="AK36" s="2461" t="s">
        <v>381</v>
      </c>
      <c r="AQ36" s="1082">
        <v>14</v>
      </c>
    </row>
    <row r="37" spans="1:43" ht="14.65" customHeight="1">
      <c r="Q37" s="313"/>
      <c r="R37" s="313"/>
      <c r="S37" s="2614" t="s">
        <v>88</v>
      </c>
      <c r="T37" s="2563" t="s">
        <v>506</v>
      </c>
      <c r="U37" s="238"/>
      <c r="V37" s="2615" t="s">
        <v>507</v>
      </c>
      <c r="W37" s="2616"/>
      <c r="X37" s="2616"/>
      <c r="Y37" s="2616"/>
      <c r="Z37" s="2616"/>
      <c r="AA37" s="2617"/>
      <c r="AB37" s="2618" t="s">
        <v>508</v>
      </c>
      <c r="AC37" s="2615" t="s">
        <v>507</v>
      </c>
      <c r="AD37" s="2616"/>
      <c r="AE37" s="2616"/>
      <c r="AF37" s="2616"/>
      <c r="AG37" s="2616"/>
      <c r="AH37" s="2617"/>
      <c r="AI37" s="2618" t="s">
        <v>509</v>
      </c>
      <c r="AJ37" s="2621" t="s">
        <v>510</v>
      </c>
      <c r="AK37" s="2461"/>
      <c r="AQ37" s="1082">
        <v>14</v>
      </c>
    </row>
    <row r="38" spans="1:43" ht="35.65" customHeight="1">
      <c r="Q38" s="313"/>
      <c r="R38" s="313"/>
      <c r="S38" s="2614"/>
      <c r="T38" s="2563"/>
      <c r="U38" s="961"/>
      <c r="V38" s="1379" t="s">
        <v>566</v>
      </c>
      <c r="W38" s="2442" t="s">
        <v>513</v>
      </c>
      <c r="X38" s="2441"/>
      <c r="Y38" s="2442" t="s">
        <v>514</v>
      </c>
      <c r="Z38" s="2448"/>
      <c r="AA38" s="2441"/>
      <c r="AB38" s="2619"/>
      <c r="AC38" s="1379" t="s">
        <v>566</v>
      </c>
      <c r="AD38" s="2442" t="s">
        <v>513</v>
      </c>
      <c r="AE38" s="2441"/>
      <c r="AF38" s="2442" t="s">
        <v>514</v>
      </c>
      <c r="AG38" s="2448"/>
      <c r="AH38" s="2441"/>
      <c r="AI38" s="2619"/>
      <c r="AJ38" s="2622"/>
      <c r="AK38" s="2461"/>
      <c r="AQ38" s="1082">
        <v>34</v>
      </c>
    </row>
    <row r="39" spans="1:43" ht="35.65" customHeight="1">
      <c r="A39" s="1297"/>
      <c r="B39" s="1297" t="s">
        <v>201</v>
      </c>
      <c r="C39" s="1297" t="s">
        <v>202</v>
      </c>
      <c r="D39" s="1297" t="s">
        <v>203</v>
      </c>
      <c r="E39" s="1291" t="s">
        <v>515</v>
      </c>
      <c r="F39" s="1291" t="s">
        <v>516</v>
      </c>
      <c r="G39" s="1291" t="s">
        <v>517</v>
      </c>
      <c r="H39" s="1291"/>
      <c r="I39" s="1291" t="s">
        <v>567</v>
      </c>
      <c r="J39" s="1291" t="s">
        <v>520</v>
      </c>
      <c r="K39" s="1291" t="s">
        <v>568</v>
      </c>
      <c r="L39" s="1291" t="s">
        <v>496</v>
      </c>
      <c r="Q39" s="313"/>
      <c r="R39" s="313"/>
      <c r="S39" s="2614"/>
      <c r="T39" s="2563"/>
      <c r="U39" s="239"/>
      <c r="V39" s="1379" t="s">
        <v>569</v>
      </c>
      <c r="W39" s="1149" t="s">
        <v>570</v>
      </c>
      <c r="X39" s="1149" t="s">
        <v>571</v>
      </c>
      <c r="Y39" s="1382" t="s">
        <v>524</v>
      </c>
      <c r="Z39" s="2568" t="s">
        <v>525</v>
      </c>
      <c r="AA39" s="2581"/>
      <c r="AB39" s="2620"/>
      <c r="AC39" s="1379" t="s">
        <v>569</v>
      </c>
      <c r="AD39" s="1149" t="s">
        <v>570</v>
      </c>
      <c r="AE39" s="1149" t="s">
        <v>571</v>
      </c>
      <c r="AF39" s="1382" t="s">
        <v>524</v>
      </c>
      <c r="AG39" s="2568" t="s">
        <v>525</v>
      </c>
      <c r="AH39" s="2581"/>
      <c r="AI39" s="2620"/>
      <c r="AJ39" s="2623"/>
      <c r="AK39" s="246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177</v>
      </c>
      <c r="T40" s="1182" t="s">
        <v>102</v>
      </c>
      <c r="U40" s="1172" t="str">
        <f ca="1">OFFSET(U40,0,-1)</f>
        <v>2</v>
      </c>
      <c r="V40" s="1378">
        <f ca="1">OFFSET(V40,0,-1)+1</f>
        <v>3</v>
      </c>
      <c r="W40" s="1378">
        <f ca="1">OFFSET(W40,0,-1)+1</f>
        <v>4</v>
      </c>
      <c r="X40" s="1378">
        <f ca="1">OFFSET(X40,0,-1)+1</f>
        <v>5</v>
      </c>
      <c r="Y40" s="1378">
        <f ca="1">OFFSET(Y40,0,-1)+1</f>
        <v>6</v>
      </c>
      <c r="Z40" s="2612">
        <f ca="1">OFFSET(Z40,0,-1)+1</f>
        <v>7</v>
      </c>
      <c r="AA40" s="2612"/>
      <c r="AB40" s="1378">
        <f ca="1">OFFSET(AB40,0,-2)+1</f>
        <v>8</v>
      </c>
      <c r="AC40" s="1378">
        <f ca="1">OFFSET(AC40,0,-1)+1</f>
        <v>9</v>
      </c>
      <c r="AD40" s="1378">
        <f ca="1">OFFSET(AD40,0,-1)+1</f>
        <v>10</v>
      </c>
      <c r="AE40" s="1378">
        <f ca="1">OFFSET(AE40,0,-1)+1</f>
        <v>11</v>
      </c>
      <c r="AF40" s="1378">
        <f ca="1">OFFSET(AF40,0,-1)+1</f>
        <v>12</v>
      </c>
      <c r="AG40" s="2612">
        <f ca="1">OFFSET(AG40,0,-1)+1</f>
        <v>13</v>
      </c>
      <c r="AH40" s="2612"/>
      <c r="AI40" s="1378">
        <f ca="1">OFFSET(AI40,0,-2)+1</f>
        <v>14</v>
      </c>
      <c r="AJ40" s="1172">
        <f ca="1">OFFSET(AJ40,0,-1)</f>
        <v>14</v>
      </c>
      <c r="AK40" s="1378">
        <f ca="1">OFFSET(AK40,0,-1)+1</f>
        <v>15</v>
      </c>
      <c r="AL40" s="448"/>
      <c r="AM40" s="448"/>
      <c r="AN40" s="448"/>
      <c r="AO40" s="448"/>
      <c r="AP40" s="448"/>
      <c r="AQ40" s="433">
        <v>0</v>
      </c>
    </row>
    <row r="41" spans="1:43" ht="24" customHeight="1">
      <c r="A41" s="1290" t="s">
        <v>321</v>
      </c>
      <c r="B41" s="1290"/>
      <c r="C41" s="1290"/>
      <c r="D41" s="1290"/>
      <c r="E41" s="260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189</v>
      </c>
      <c r="U41" s="237"/>
      <c r="V41" s="2595"/>
      <c r="W41" s="2596"/>
      <c r="X41" s="2596"/>
      <c r="Y41" s="2596"/>
      <c r="Z41" s="2596"/>
      <c r="AA41" s="2596"/>
      <c r="AB41" s="2597"/>
      <c r="AC41" s="2595" t="str">
        <f>INDEX(PT_DIFFERENTIATION_NTAR,MATCH(A41,PT_DIFFERENTIATION_NTAR_ID,0))</f>
        <v/>
      </c>
      <c r="AD41" s="2596"/>
      <c r="AE41" s="2596"/>
      <c r="AF41" s="2596"/>
      <c r="AG41" s="2596"/>
      <c r="AH41" s="2596"/>
      <c r="AI41" s="2596"/>
      <c r="AJ41" s="259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321</v>
      </c>
      <c r="B42" s="1290" t="s">
        <v>322</v>
      </c>
      <c r="C42" s="1290"/>
      <c r="D42" s="1290"/>
      <c r="E42" s="2602"/>
      <c r="F42" s="2601">
        <v>1</v>
      </c>
      <c r="G42" s="1290"/>
      <c r="H42" s="1290"/>
      <c r="I42" s="1290"/>
      <c r="J42" s="1290"/>
      <c r="K42" s="1290"/>
      <c r="L42" s="1291"/>
      <c r="M42" s="1292"/>
      <c r="N42" s="1292"/>
      <c r="O42" s="1292"/>
      <c r="P42" s="1380"/>
      <c r="Q42" s="289"/>
      <c r="R42" s="290"/>
      <c r="S42" s="1384" t="str">
        <f>INDEX(PT_DIFFERENTIATION_NUM_TER,MATCH(B42,PT_DIFFERENTIATION_TER_ID,0))</f>
        <v>.</v>
      </c>
      <c r="T42" s="245" t="s">
        <v>477</v>
      </c>
      <c r="U42" s="237"/>
      <c r="V42" s="2595"/>
      <c r="W42" s="2596"/>
      <c r="X42" s="2596"/>
      <c r="Y42" s="2596"/>
      <c r="Z42" s="2596"/>
      <c r="AA42" s="2596"/>
      <c r="AB42" s="2597"/>
      <c r="AC42" s="2595" t="str">
        <f>INDEX(PT_DIFFERENTIATION_TER,MATCH(B42,PT_DIFFERENTIATION_TER_ID,0))</f>
        <v/>
      </c>
      <c r="AD42" s="2596"/>
      <c r="AE42" s="2596"/>
      <c r="AF42" s="2596"/>
      <c r="AG42" s="2596"/>
      <c r="AH42" s="2596"/>
      <c r="AI42" s="2596"/>
      <c r="AJ42" s="2597"/>
      <c r="AK42" s="1185" t="s">
        <v>478</v>
      </c>
      <c r="AM42" s="437"/>
      <c r="AN42" s="437" t="str">
        <f t="shared" si="1"/>
        <v>Территория действия тарифа</v>
      </c>
      <c r="AO42" s="437"/>
      <c r="AP42" s="437"/>
      <c r="AQ42" s="1082">
        <v>23</v>
      </c>
    </row>
    <row r="43" spans="1:43" ht="24" customHeight="1">
      <c r="A43" s="1290" t="s">
        <v>321</v>
      </c>
      <c r="B43" s="1290" t="s">
        <v>322</v>
      </c>
      <c r="C43" s="1290" t="s">
        <v>323</v>
      </c>
      <c r="D43" s="1290"/>
      <c r="E43" s="2602"/>
      <c r="F43" s="2602"/>
      <c r="G43" s="2601">
        <v>1</v>
      </c>
      <c r="H43" s="1290"/>
      <c r="I43" s="1290"/>
      <c r="J43" s="1290"/>
      <c r="K43" s="1290"/>
      <c r="L43" s="1291"/>
      <c r="M43" s="1292"/>
      <c r="N43" s="1292"/>
      <c r="O43" s="1292"/>
      <c r="P43" s="291"/>
      <c r="Q43" s="289"/>
      <c r="R43" s="290"/>
      <c r="S43" s="1384" t="str">
        <f>INDEX(PT_DIFFERENTIATION_NUM_CS,MATCH(C43,PT_DIFFERENTIATION_CS_ID,0))</f>
        <v>..</v>
      </c>
      <c r="T43" s="246" t="s">
        <v>558</v>
      </c>
      <c r="U43" s="237"/>
      <c r="V43" s="2595"/>
      <c r="W43" s="2596"/>
      <c r="X43" s="2596"/>
      <c r="Y43" s="2596"/>
      <c r="Z43" s="2596"/>
      <c r="AA43" s="2596"/>
      <c r="AB43" s="2597"/>
      <c r="AC43" s="2595" t="str">
        <f>INDEX(PT_DIFFERENTIATION_CS,MATCH(C43,PT_DIFFERENTIATION_CS_ID,0))</f>
        <v/>
      </c>
      <c r="AD43" s="2596"/>
      <c r="AE43" s="2596"/>
      <c r="AF43" s="2596"/>
      <c r="AG43" s="2596"/>
      <c r="AH43" s="2596"/>
      <c r="AI43" s="2596"/>
      <c r="AJ43" s="2597"/>
      <c r="AK43" s="1185" t="s">
        <v>559</v>
      </c>
      <c r="AM43" s="437"/>
      <c r="AN43" s="437" t="str">
        <f t="shared" si="1"/>
        <v>Наименование централизованной системы холодного водоснабжения</v>
      </c>
      <c r="AO43" s="437"/>
      <c r="AP43" s="437"/>
      <c r="AQ43" s="1082">
        <v>23</v>
      </c>
    </row>
    <row r="44" spans="1:43" ht="24" customHeight="1">
      <c r="A44" s="1290" t="s">
        <v>321</v>
      </c>
      <c r="B44" s="1290" t="s">
        <v>322</v>
      </c>
      <c r="C44" s="1290" t="s">
        <v>323</v>
      </c>
      <c r="D44" s="1290" t="s">
        <v>577</v>
      </c>
      <c r="E44" s="2602"/>
      <c r="F44" s="2602"/>
      <c r="G44" s="2602"/>
      <c r="H44" s="2602"/>
      <c r="I44" s="2603" t="str">
        <f>S43&amp;".1"</f>
        <v>...1</v>
      </c>
      <c r="J44" s="1290"/>
      <c r="K44" s="1290"/>
      <c r="L44" s="1291"/>
      <c r="P44" s="2605">
        <v>1</v>
      </c>
      <c r="Q44" s="1377"/>
      <c r="R44" s="293"/>
      <c r="S44" s="1384" t="str">
        <f>$I44</f>
        <v>...1</v>
      </c>
      <c r="T44" s="222" t="s">
        <v>560</v>
      </c>
      <c r="U44" s="237"/>
      <c r="V44" s="2669"/>
      <c r="W44" s="2670"/>
      <c r="X44" s="2670"/>
      <c r="Y44" s="2670"/>
      <c r="Z44" s="2670"/>
      <c r="AA44" s="2670"/>
      <c r="AB44" s="2671"/>
      <c r="AC44" s="2672"/>
      <c r="AD44" s="2673"/>
      <c r="AE44" s="2673"/>
      <c r="AF44" s="2673"/>
      <c r="AG44" s="2673"/>
      <c r="AH44" s="2673"/>
      <c r="AI44" s="2673"/>
      <c r="AJ44" s="2674"/>
      <c r="AK44" s="1185" t="s">
        <v>561</v>
      </c>
      <c r="AM44" s="437"/>
      <c r="AN44" s="437" t="str">
        <f t="shared" si="1"/>
        <v>Наименование признака дифференциации</v>
      </c>
      <c r="AO44" s="437"/>
      <c r="AP44" s="437"/>
      <c r="AQ44" s="1082">
        <v>23</v>
      </c>
    </row>
    <row r="45" spans="1:43" ht="24" customHeight="1">
      <c r="A45" s="1290" t="s">
        <v>321</v>
      </c>
      <c r="B45" s="1290" t="s">
        <v>322</v>
      </c>
      <c r="C45" s="1290" t="s">
        <v>323</v>
      </c>
      <c r="D45" s="1290" t="s">
        <v>577</v>
      </c>
      <c r="E45" s="2602"/>
      <c r="F45" s="2602"/>
      <c r="G45" s="2602"/>
      <c r="H45" s="2602"/>
      <c r="I45" s="2604"/>
      <c r="J45" s="2603" t="str">
        <f>I44&amp;".1"</f>
        <v>...1.1</v>
      </c>
      <c r="K45" s="1290"/>
      <c r="L45" s="1291" t="s">
        <v>486</v>
      </c>
      <c r="P45" s="2605"/>
      <c r="Q45" s="2605">
        <v>1</v>
      </c>
      <c r="R45" s="294"/>
      <c r="S45" s="1384" t="str">
        <f>$J45</f>
        <v>...1.1</v>
      </c>
      <c r="T45" s="223" t="s">
        <v>487</v>
      </c>
      <c r="U45" s="237"/>
      <c r="V45" s="2589"/>
      <c r="W45" s="2590"/>
      <c r="X45" s="2590"/>
      <c r="Y45" s="2590"/>
      <c r="Z45" s="2590"/>
      <c r="AA45" s="2590"/>
      <c r="AB45" s="2591"/>
      <c r="AC45" s="2589"/>
      <c r="AD45" s="2590"/>
      <c r="AE45" s="2590"/>
      <c r="AF45" s="2590"/>
      <c r="AG45" s="2590"/>
      <c r="AH45" s="2590"/>
      <c r="AI45" s="2590"/>
      <c r="AJ45" s="2591"/>
      <c r="AK45" s="1234" t="s">
        <v>562</v>
      </c>
      <c r="AM45" s="437"/>
      <c r="AN45" s="437" t="str">
        <f t="shared" si="1"/>
        <v>Группа потребителей</v>
      </c>
      <c r="AO45" s="437"/>
      <c r="AP45" s="437"/>
      <c r="AQ45" s="1082">
        <v>23</v>
      </c>
    </row>
    <row r="46" spans="1:43" ht="24" customHeight="1">
      <c r="A46" s="1290" t="s">
        <v>321</v>
      </c>
      <c r="B46" s="1290" t="s">
        <v>322</v>
      </c>
      <c r="C46" s="1290" t="s">
        <v>323</v>
      </c>
      <c r="D46" s="1290" t="s">
        <v>577</v>
      </c>
      <c r="E46" s="2602"/>
      <c r="F46" s="2602"/>
      <c r="G46" s="2602"/>
      <c r="H46" s="2602"/>
      <c r="I46" s="2604"/>
      <c r="J46" s="2604"/>
      <c r="K46" s="2603" t="str">
        <f>J45&amp;".1"</f>
        <v>...1.1.1</v>
      </c>
      <c r="L46" s="1291"/>
      <c r="P46" s="2605"/>
      <c r="Q46" s="2605"/>
      <c r="R46" s="294">
        <v>1</v>
      </c>
      <c r="S46" s="1384" t="str">
        <f>$K46</f>
        <v>...1.1.1</v>
      </c>
      <c r="T46" s="1364"/>
      <c r="U46" s="237"/>
      <c r="V46" s="688"/>
      <c r="W46" s="688"/>
      <c r="X46" s="1184"/>
      <c r="Y46" s="2606"/>
      <c r="Z46" s="2471" t="s">
        <v>66</v>
      </c>
      <c r="AA46" s="2606"/>
      <c r="AB46" s="2471" t="s">
        <v>66</v>
      </c>
      <c r="AC46" s="688"/>
      <c r="AD46" s="688"/>
      <c r="AE46" s="1184"/>
      <c r="AF46" s="2606"/>
      <c r="AG46" s="2471" t="s">
        <v>66</v>
      </c>
      <c r="AH46" s="2608"/>
      <c r="AI46" s="2471" t="s">
        <v>66</v>
      </c>
      <c r="AJ46" s="1365"/>
      <c r="AK4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321</v>
      </c>
      <c r="B47" s="1290" t="s">
        <v>322</v>
      </c>
      <c r="C47" s="1290" t="s">
        <v>323</v>
      </c>
      <c r="D47" s="1290" t="s">
        <v>577</v>
      </c>
      <c r="E47" s="2602"/>
      <c r="F47" s="2602"/>
      <c r="G47" s="2602"/>
      <c r="H47" s="2602"/>
      <c r="I47" s="2604"/>
      <c r="J47" s="2604"/>
      <c r="K47" s="2603"/>
      <c r="L47" s="1291"/>
      <c r="P47" s="2605"/>
      <c r="Q47" s="2605"/>
      <c r="R47" s="294"/>
      <c r="S47" s="1383"/>
      <c r="T47" s="237"/>
      <c r="U47" s="237"/>
      <c r="V47" s="262"/>
      <c r="W47" s="262"/>
      <c r="X47" s="265" t="str">
        <f>Y46&amp;"-"&amp;AA46</f>
        <v>-</v>
      </c>
      <c r="Y47" s="2607"/>
      <c r="Z47" s="2471"/>
      <c r="AA47" s="2607"/>
      <c r="AB47" s="2471"/>
      <c r="AC47" s="262"/>
      <c r="AD47" s="262"/>
      <c r="AE47" s="265" t="str">
        <f>AF46&amp;"-"&amp;AH46</f>
        <v>-</v>
      </c>
      <c r="AF47" s="2607"/>
      <c r="AG47" s="2471"/>
      <c r="AH47" s="2609"/>
      <c r="AI47" s="2471"/>
      <c r="AJ47" s="1366"/>
      <c r="AK47" s="2675"/>
      <c r="AM47" s="437"/>
      <c r="AN47" s="437" t="str">
        <f t="shared" si="1"/>
        <v/>
      </c>
      <c r="AO47" s="437"/>
      <c r="AP47" s="437"/>
      <c r="AQ47" s="1082">
        <v>0</v>
      </c>
    </row>
    <row r="48" spans="1:43" ht="21" customHeight="1">
      <c r="A48" s="1290" t="s">
        <v>321</v>
      </c>
      <c r="B48" s="1290" t="s">
        <v>322</v>
      </c>
      <c r="C48" s="1290" t="s">
        <v>323</v>
      </c>
      <c r="D48" s="1290" t="s">
        <v>577</v>
      </c>
      <c r="E48" s="2602"/>
      <c r="F48" s="2602"/>
      <c r="G48" s="2602"/>
      <c r="H48" s="2602"/>
      <c r="I48" s="2604"/>
      <c r="J48" s="2603"/>
      <c r="K48" s="1290"/>
      <c r="L48" s="1291"/>
      <c r="P48" s="2605"/>
      <c r="Q48" s="2605"/>
      <c r="R48" s="293"/>
      <c r="S48" s="1205"/>
      <c r="T48" s="224" t="s">
        <v>563</v>
      </c>
      <c r="U48" s="304"/>
      <c r="V48" s="304"/>
      <c r="W48" s="304"/>
      <c r="X48" s="304"/>
      <c r="Y48" s="304"/>
      <c r="Z48" s="304"/>
      <c r="AA48" s="304"/>
      <c r="AB48" s="304"/>
      <c r="AC48" s="304"/>
      <c r="AD48" s="304"/>
      <c r="AE48" s="304"/>
      <c r="AF48" s="304"/>
      <c r="AG48" s="304"/>
      <c r="AH48" s="304"/>
      <c r="AI48" s="304"/>
      <c r="AJ48" s="304"/>
      <c r="AK48" s="1185" t="s">
        <v>564</v>
      </c>
      <c r="AM48" s="437"/>
      <c r="AN48" s="437" t="str">
        <f t="shared" si="1"/>
        <v>Добавить значение признака дифференциации</v>
      </c>
      <c r="AO48" s="437"/>
      <c r="AP48" s="437"/>
      <c r="AQ48" s="1082">
        <v>20</v>
      </c>
    </row>
    <row r="49" spans="1:43" ht="21.95" customHeight="1">
      <c r="A49" s="1290" t="s">
        <v>321</v>
      </c>
      <c r="B49" s="1290" t="s">
        <v>322</v>
      </c>
      <c r="C49" s="1290" t="s">
        <v>323</v>
      </c>
      <c r="D49" s="1290" t="s">
        <v>577</v>
      </c>
      <c r="E49" s="2602"/>
      <c r="F49" s="2602"/>
      <c r="G49" s="2602"/>
      <c r="H49" s="2602"/>
      <c r="I49" s="2603"/>
      <c r="J49" s="1290"/>
      <c r="K49" s="1290"/>
      <c r="L49" s="1291"/>
      <c r="P49" s="2605"/>
      <c r="Q49" s="1377"/>
      <c r="R49" s="293"/>
      <c r="S49" s="1205"/>
      <c r="T49" s="302" t="s">
        <v>492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321</v>
      </c>
      <c r="B50" s="1290" t="s">
        <v>322</v>
      </c>
      <c r="C50" s="1290" t="s">
        <v>323</v>
      </c>
      <c r="D50" s="1290" t="s">
        <v>577</v>
      </c>
      <c r="E50" s="2602"/>
      <c r="F50" s="2602"/>
      <c r="G50" s="2602"/>
      <c r="H50" s="2601"/>
      <c r="I50" s="1290"/>
      <c r="J50" s="1290"/>
      <c r="K50" s="1290"/>
      <c r="L50" s="1291"/>
      <c r="M50" s="1292"/>
      <c r="N50" s="1292"/>
      <c r="O50" s="474"/>
      <c r="P50" s="297"/>
      <c r="Q50" s="312"/>
      <c r="R50" s="292"/>
      <c r="S50" s="1205"/>
      <c r="T50" s="309" t="s">
        <v>565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321</v>
      </c>
      <c r="B51" s="1270" t="s">
        <v>322</v>
      </c>
      <c r="C51" s="1241"/>
      <c r="D51" s="1241"/>
      <c r="E51" s="2602"/>
      <c r="F51" s="2601"/>
      <c r="G51" s="1241"/>
      <c r="H51" s="1241"/>
      <c r="I51" s="1241"/>
      <c r="J51" s="1241"/>
      <c r="K51" s="1241"/>
      <c r="L51" s="1385"/>
      <c r="M51" s="1248"/>
      <c r="N51" s="1248"/>
      <c r="P51" s="1243"/>
      <c r="Q51" s="1244"/>
      <c r="R51" s="1243"/>
      <c r="S51" s="1249"/>
      <c r="T51" s="1252" t="s">
        <v>295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321</v>
      </c>
      <c r="B52" s="1270"/>
      <c r="C52" s="1270"/>
      <c r="D52" s="1270"/>
      <c r="E52" s="2601"/>
      <c r="F52" s="1270"/>
      <c r="G52" s="1270"/>
      <c r="H52" s="1270"/>
      <c r="I52" s="1270"/>
      <c r="J52" s="1270"/>
      <c r="K52" s="1270"/>
      <c r="L52" s="1273"/>
      <c r="M52" s="1248"/>
      <c r="N52" s="1248"/>
      <c r="O52" s="455"/>
      <c r="P52" s="317"/>
      <c r="Q52" s="1271"/>
      <c r="R52" s="317"/>
      <c r="S52" s="1249"/>
      <c r="T52" s="1252" t="s">
        <v>299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300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00"/>
      <c r="U55" s="2600"/>
      <c r="V55" s="2600"/>
      <c r="W55" s="2600"/>
      <c r="X55" s="2600"/>
      <c r="Y55" s="2600"/>
      <c r="Z55" s="2600"/>
      <c r="AA55" s="2600"/>
      <c r="AB55" s="2600"/>
      <c r="AC55" s="2600"/>
      <c r="AD55" s="2600"/>
      <c r="AE55" s="2600"/>
      <c r="AF55" s="2600"/>
      <c r="AG55" s="2600"/>
      <c r="AH55" s="2600"/>
      <c r="AI55" s="2600"/>
      <c r="AJ55" s="2600"/>
      <c r="AK55" s="2600"/>
      <c r="AQ55" s="1082">
        <v>14</v>
      </c>
    </row>
    <row r="56" spans="1:43" ht="14.65" customHeight="1">
      <c r="O56" s="474"/>
      <c r="AQ56" s="1082">
        <v>14</v>
      </c>
    </row>
    <row r="57" spans="1:43" ht="14.65" customHeight="1">
      <c r="O57" s="474"/>
      <c r="S57" s="1180"/>
      <c r="T57" s="2600"/>
      <c r="U57" s="2600"/>
      <c r="V57" s="2600"/>
      <c r="W57" s="2600"/>
      <c r="X57" s="2600"/>
      <c r="Y57" s="2600"/>
      <c r="Z57" s="2600"/>
      <c r="AA57" s="2600"/>
      <c r="AB57" s="2600"/>
      <c r="AC57" s="2600"/>
      <c r="AD57" s="2600"/>
      <c r="AE57" s="2600"/>
      <c r="AF57" s="2600"/>
      <c r="AG57" s="2600"/>
      <c r="AH57" s="2600"/>
      <c r="AI57" s="2600"/>
      <c r="AJ57" s="2600"/>
      <c r="AK57" s="260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7" hidden="1" customWidth="1"/>
    <col min="16" max="16" width="3" style="1703" customWidth="1"/>
    <col min="17" max="17" width="3" style="1298" customWidth="1"/>
    <col min="18" max="18" width="3" style="281" customWidth="1"/>
    <col min="19" max="19" width="12" style="201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627">
        <v>1</v>
      </c>
      <c r="F2" s="1194"/>
      <c r="G2" s="1194"/>
      <c r="H2" s="1194"/>
      <c r="I2" s="1194"/>
      <c r="J2" s="1194"/>
      <c r="K2" s="1194"/>
      <c r="L2" s="1237"/>
      <c r="M2" s="1537"/>
      <c r="N2" s="1537"/>
      <c r="O2" s="1537"/>
      <c r="P2" s="1336"/>
      <c r="Q2" s="804"/>
      <c r="R2" s="292"/>
      <c r="S2" s="1881" t="e">
        <f>INDEX(PT_DIFFERENTIATION_NUM_NTAR,MATCH(A2,PT_DIFFERENTIATION_NTAR_ID,0))</f>
        <v>#N/A</v>
      </c>
      <c r="T2" s="1452" t="s">
        <v>189</v>
      </c>
      <c r="U2" s="237"/>
      <c r="V2" s="2596"/>
      <c r="W2" s="2596"/>
      <c r="X2" s="2596"/>
      <c r="Y2" s="2596"/>
      <c r="Z2" s="2596"/>
      <c r="AA2" s="2597"/>
      <c r="AB2" s="1875"/>
      <c r="AC2" s="2596" t="e">
        <f>INDEX(PT_DIFFERENTIATION_NTAR,MATCH(A2,PT_DIFFERENTIATION_NTAR_ID,0))</f>
        <v>#N/A</v>
      </c>
      <c r="AD2" s="2596"/>
      <c r="AE2" s="2596"/>
      <c r="AF2" s="2596"/>
      <c r="AG2" s="2596"/>
      <c r="AH2" s="2596"/>
      <c r="AI2" s="2596"/>
      <c r="AJ2" s="2597"/>
      <c r="AK2" s="1185" t="s">
        <v>476</v>
      </c>
      <c r="AM2" s="1551"/>
      <c r="AN2" s="1551" t="str">
        <f t="shared" ref="AN2:AN14" si="0">IF(T2="","",T2)</f>
        <v>Наименование тарифа</v>
      </c>
      <c r="AO2" s="1551"/>
      <c r="AP2" s="1551"/>
      <c r="AQ2" s="1558">
        <v>0</v>
      </c>
    </row>
    <row r="3" spans="1:43" ht="21" hidden="1" customHeight="1">
      <c r="A3" s="1194"/>
      <c r="B3" s="1194"/>
      <c r="C3" s="1194"/>
      <c r="D3" s="1194"/>
      <c r="E3" s="2628"/>
      <c r="F3" s="2627">
        <v>1</v>
      </c>
      <c r="G3" s="1194"/>
      <c r="H3" s="1194"/>
      <c r="I3" s="1194"/>
      <c r="J3" s="1194"/>
      <c r="K3" s="1194"/>
      <c r="L3" s="1237"/>
      <c r="M3" s="1537"/>
      <c r="N3" s="1537"/>
      <c r="O3" s="1537"/>
      <c r="P3" s="1892"/>
      <c r="Q3" s="1338"/>
      <c r="R3" s="290"/>
      <c r="S3" s="1881" t="e">
        <f>INDEX(PT_DIFFERENTIATION_NUM_TER,MATCH(B3,PT_DIFFERENTIATION_TER_ID,0))</f>
        <v>#N/A</v>
      </c>
      <c r="T3" s="1449" t="s">
        <v>477</v>
      </c>
      <c r="U3" s="237"/>
      <c r="V3" s="2596"/>
      <c r="W3" s="2596"/>
      <c r="X3" s="2596"/>
      <c r="Y3" s="2596"/>
      <c r="Z3" s="2596"/>
      <c r="AA3" s="2597"/>
      <c r="AB3" s="1875"/>
      <c r="AC3" s="2596" t="e">
        <f>INDEX(PT_DIFFERENTIATION_TER,MATCH(B3,PT_DIFFERENTIATION_TER_ID,0))</f>
        <v>#N/A</v>
      </c>
      <c r="AD3" s="2596"/>
      <c r="AE3" s="2596"/>
      <c r="AF3" s="2596"/>
      <c r="AG3" s="2596"/>
      <c r="AH3" s="2596"/>
      <c r="AI3" s="2596"/>
      <c r="AJ3" s="2597"/>
      <c r="AK3" s="1185" t="s">
        <v>478</v>
      </c>
      <c r="AM3" s="1551"/>
      <c r="AN3" s="1551" t="str">
        <f t="shared" si="0"/>
        <v>Территория действия тарифа</v>
      </c>
      <c r="AO3" s="1551"/>
      <c r="AP3" s="1551"/>
      <c r="AQ3" s="1558">
        <v>0</v>
      </c>
    </row>
    <row r="4" spans="1:43" ht="22.5" hidden="1" customHeight="1">
      <c r="A4" s="1194"/>
      <c r="B4" s="1194"/>
      <c r="C4" s="1194"/>
      <c r="D4" s="1194"/>
      <c r="E4" s="2628"/>
      <c r="F4" s="2628"/>
      <c r="G4" s="2627">
        <v>1</v>
      </c>
      <c r="H4" s="1194"/>
      <c r="I4" s="1194"/>
      <c r="J4" s="1194"/>
      <c r="K4" s="1194"/>
      <c r="L4" s="1237"/>
      <c r="M4" s="1537"/>
      <c r="N4" s="1537"/>
      <c r="O4" s="1537"/>
      <c r="P4" s="1339"/>
      <c r="Q4" s="1338"/>
      <c r="R4" s="290"/>
      <c r="S4" s="1881" t="e">
        <f>INDEX(PT_DIFFERENTIATION_NUM_CS,MATCH(C4,PT_DIFFERENTIATION_CS_ID,0))</f>
        <v>#N/A</v>
      </c>
      <c r="T4" s="246" t="s">
        <v>479</v>
      </c>
      <c r="U4" s="237"/>
      <c r="V4" s="2596"/>
      <c r="W4" s="2596"/>
      <c r="X4" s="2596"/>
      <c r="Y4" s="2596"/>
      <c r="Z4" s="2596"/>
      <c r="AA4" s="2597"/>
      <c r="AB4" s="1875"/>
      <c r="AC4" s="2596" t="e">
        <f>INDEX(PT_DIFFERENTIATION_CS,MATCH(C4,PT_DIFFERENTIATION_CS_ID,0))</f>
        <v>#N/A</v>
      </c>
      <c r="AD4" s="2596"/>
      <c r="AE4" s="2596"/>
      <c r="AF4" s="2596"/>
      <c r="AG4" s="2596"/>
      <c r="AH4" s="2596"/>
      <c r="AI4" s="2596"/>
      <c r="AJ4" s="2597"/>
      <c r="AK4" s="1185" t="s">
        <v>480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628"/>
      <c r="F5" s="2628"/>
      <c r="G5" s="2628"/>
      <c r="H5" s="2627">
        <v>1</v>
      </c>
      <c r="I5" s="1194"/>
      <c r="J5" s="1194"/>
      <c r="K5" s="1194"/>
      <c r="L5" s="1237"/>
      <c r="M5" s="1537"/>
      <c r="N5" s="1537"/>
      <c r="O5" s="1537"/>
      <c r="P5" s="1339"/>
      <c r="Q5" s="1338"/>
      <c r="R5" s="290"/>
      <c r="S5" s="1881" t="e">
        <f>INDEX(PT_DIFFERENTIATION_NUM_IST_TE,MATCH(D5,PT_DIFFERENTIATION_IST_TE_ID,0))</f>
        <v>#N/A</v>
      </c>
      <c r="T5" s="247" t="s">
        <v>481</v>
      </c>
      <c r="U5" s="237"/>
      <c r="V5" s="2596"/>
      <c r="W5" s="2596"/>
      <c r="X5" s="2596"/>
      <c r="Y5" s="2596"/>
      <c r="Z5" s="2596"/>
      <c r="AA5" s="2597"/>
      <c r="AB5" s="1875"/>
      <c r="AC5" s="2596" t="e">
        <f>INDEX(PT_DIFFERENTIATION_IST_TE,MATCH(D5,PT_DIFFERENTIATION_IST_TE_ID,0))</f>
        <v>#N/A</v>
      </c>
      <c r="AD5" s="2596"/>
      <c r="AE5" s="2596"/>
      <c r="AF5" s="2596"/>
      <c r="AG5" s="2596"/>
      <c r="AH5" s="2596"/>
      <c r="AI5" s="2596"/>
      <c r="AJ5" s="2597"/>
      <c r="AK5" s="1185" t="s">
        <v>482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628"/>
      <c r="F6" s="2628"/>
      <c r="G6" s="2628"/>
      <c r="H6" s="2628"/>
      <c r="I6" s="2461" t="e">
        <f>S5&amp;".1"</f>
        <v>#N/A</v>
      </c>
      <c r="J6" s="1302"/>
      <c r="K6" s="1302"/>
      <c r="L6" s="1308" t="s">
        <v>483</v>
      </c>
      <c r="M6" s="1173"/>
      <c r="N6" s="1173"/>
      <c r="O6" s="1173"/>
      <c r="P6" s="2605">
        <v>1</v>
      </c>
      <c r="Q6" s="1877"/>
      <c r="R6" s="293"/>
      <c r="S6" s="972"/>
      <c r="T6" s="1310"/>
      <c r="U6" s="1311"/>
      <c r="V6" s="2633"/>
      <c r="W6" s="2633"/>
      <c r="X6" s="2633"/>
      <c r="Y6" s="2633"/>
      <c r="Z6" s="2633"/>
      <c r="AA6" s="2634"/>
      <c r="AB6" s="1883"/>
      <c r="AC6" s="2633"/>
      <c r="AD6" s="2633"/>
      <c r="AE6" s="2633"/>
      <c r="AF6" s="2633"/>
      <c r="AG6" s="2633"/>
      <c r="AH6" s="2633"/>
      <c r="AI6" s="2633"/>
      <c r="AJ6" s="2634"/>
      <c r="AK6" s="1312"/>
      <c r="AM6" s="1551"/>
      <c r="AN6" s="1551" t="str">
        <f t="shared" si="0"/>
        <v/>
      </c>
      <c r="AO6" s="1551"/>
      <c r="AP6" s="1551"/>
      <c r="AQ6" s="1563">
        <v>0</v>
      </c>
    </row>
    <row r="7" spans="1:43" s="1569" customFormat="1" ht="0.75" hidden="1" customHeight="1">
      <c r="A7" s="1302"/>
      <c r="B7" s="1302"/>
      <c r="C7" s="1302"/>
      <c r="D7" s="1302"/>
      <c r="E7" s="2628"/>
      <c r="F7" s="2628"/>
      <c r="G7" s="2628"/>
      <c r="H7" s="2628"/>
      <c r="I7" s="2442"/>
      <c r="J7" s="2461" t="e">
        <f>S5&amp;".1"</f>
        <v>#N/A</v>
      </c>
      <c r="K7" s="1302"/>
      <c r="L7" s="1308"/>
      <c r="M7" s="1173"/>
      <c r="N7" s="1173"/>
      <c r="O7" s="1173"/>
      <c r="P7" s="2605"/>
      <c r="Q7" s="2605">
        <v>1</v>
      </c>
      <c r="R7" s="294"/>
      <c r="S7" s="972"/>
      <c r="T7" s="1326"/>
      <c r="U7" s="1311"/>
      <c r="V7" s="2633"/>
      <c r="W7" s="2633"/>
      <c r="X7" s="2633"/>
      <c r="Y7" s="2633"/>
      <c r="Z7" s="2633"/>
      <c r="AA7" s="2634"/>
      <c r="AB7" s="1883"/>
      <c r="AC7" s="2633"/>
      <c r="AD7" s="2633"/>
      <c r="AE7" s="2633"/>
      <c r="AF7" s="2633"/>
      <c r="AG7" s="2633"/>
      <c r="AH7" s="2633"/>
      <c r="AI7" s="2633"/>
      <c r="AJ7" s="2634"/>
      <c r="AK7" s="1312"/>
      <c r="AM7" s="1551"/>
      <c r="AN7" s="1551" t="str">
        <f t="shared" si="0"/>
        <v/>
      </c>
      <c r="AO7" s="1551"/>
      <c r="AP7" s="1551"/>
      <c r="AQ7" s="1563">
        <v>0</v>
      </c>
    </row>
    <row r="8" spans="1:43" ht="21" hidden="1" customHeight="1">
      <c r="A8" s="1194"/>
      <c r="B8" s="1194"/>
      <c r="C8" s="1194"/>
      <c r="D8" s="1194"/>
      <c r="E8" s="2628"/>
      <c r="F8" s="2628"/>
      <c r="G8" s="2628"/>
      <c r="H8" s="2628"/>
      <c r="I8" s="2442"/>
      <c r="J8" s="2442"/>
      <c r="K8" s="1914" t="e">
        <f>S5&amp;".1"</f>
        <v>#N/A</v>
      </c>
      <c r="L8" s="1237"/>
      <c r="P8" s="2605"/>
      <c r="Q8" s="2605"/>
      <c r="R8" s="1918">
        <v>1</v>
      </c>
      <c r="S8" s="1916" t="e">
        <f>$K8</f>
        <v>#N/A</v>
      </c>
      <c r="T8" s="1917"/>
      <c r="U8" s="237"/>
      <c r="V8" s="688"/>
      <c r="W8" s="1184"/>
      <c r="X8" s="1915"/>
      <c r="Y8" s="1913" t="s">
        <v>66</v>
      </c>
      <c r="Z8" s="1915"/>
      <c r="AA8" s="1913" t="s">
        <v>66</v>
      </c>
      <c r="AB8" s="1919"/>
      <c r="AC8" s="1920" t="s">
        <v>28</v>
      </c>
      <c r="AD8" s="688"/>
      <c r="AE8" s="1184"/>
      <c r="AF8" s="1878"/>
      <c r="AG8" s="1865" t="s">
        <v>66</v>
      </c>
      <c r="AH8" s="1878"/>
      <c r="AI8" s="1865" t="s">
        <v>66</v>
      </c>
      <c r="AJ8" s="1275"/>
      <c r="AK8" s="2624" t="s">
        <v>541</v>
      </c>
      <c r="AL8" s="1563" t="e">
        <f ca="1">STRCHECKDATE(#REF!)</f>
        <v>#NAME?</v>
      </c>
      <c r="AM8" s="1551"/>
      <c r="AN8" s="1551" t="str">
        <f t="shared" si="0"/>
        <v/>
      </c>
      <c r="AO8" s="1551"/>
      <c r="AP8" s="1551"/>
      <c r="AQ8" s="1558">
        <v>0</v>
      </c>
    </row>
    <row r="9" spans="1:43" ht="11.25" hidden="1" customHeight="1">
      <c r="A9" s="1194"/>
      <c r="B9" s="1194"/>
      <c r="C9" s="1194"/>
      <c r="D9" s="1194"/>
      <c r="E9" s="2628"/>
      <c r="F9" s="2628"/>
      <c r="G9" s="2628"/>
      <c r="H9" s="2628"/>
      <c r="I9" s="2442"/>
      <c r="J9" s="2461"/>
      <c r="K9" s="1194"/>
      <c r="L9" s="1237"/>
      <c r="P9" s="2605"/>
      <c r="Q9" s="2605"/>
      <c r="R9" s="293"/>
      <c r="S9" s="1205"/>
      <c r="T9" s="224" t="s">
        <v>545</v>
      </c>
      <c r="U9" s="537"/>
      <c r="V9" s="537"/>
      <c r="W9" s="537"/>
      <c r="X9" s="537"/>
      <c r="Y9" s="537"/>
      <c r="Z9" s="537"/>
      <c r="AA9" s="537"/>
      <c r="AB9" s="537"/>
      <c r="AC9" s="537"/>
      <c r="AD9" s="537"/>
      <c r="AE9" s="537"/>
      <c r="AF9" s="537"/>
      <c r="AG9" s="537"/>
      <c r="AH9" s="537"/>
      <c r="AI9" s="537"/>
      <c r="AJ9" s="261"/>
      <c r="AK9" s="2626"/>
      <c r="AM9" s="1551"/>
      <c r="AN9" s="1551" t="str">
        <f t="shared" si="0"/>
        <v>Добавить строку</v>
      </c>
      <c r="AO9" s="1551"/>
      <c r="AP9" s="1551"/>
      <c r="AQ9" s="1558">
        <v>0</v>
      </c>
    </row>
    <row r="10" spans="1:43" s="1569" customFormat="1" ht="0.75" hidden="1" customHeight="1">
      <c r="A10" s="1302"/>
      <c r="B10" s="1302"/>
      <c r="C10" s="1302"/>
      <c r="D10" s="1302"/>
      <c r="E10" s="2628"/>
      <c r="F10" s="2628"/>
      <c r="G10" s="2628"/>
      <c r="H10" s="2628"/>
      <c r="I10" s="2461"/>
      <c r="J10" s="1302"/>
      <c r="K10" s="1302"/>
      <c r="L10" s="1308"/>
      <c r="M10" s="1173"/>
      <c r="N10" s="1173"/>
      <c r="O10" s="1173"/>
      <c r="P10" s="260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628"/>
      <c r="F11" s="2628"/>
      <c r="G11" s="2628"/>
      <c r="H11" s="262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628"/>
      <c r="F12" s="2628"/>
      <c r="G12" s="2627"/>
      <c r="H12" s="1301"/>
      <c r="I12" s="1301"/>
      <c r="J12" s="1301"/>
      <c r="K12" s="1301"/>
      <c r="L12" s="1304"/>
      <c r="M12" s="1305"/>
      <c r="N12" s="1305"/>
      <c r="O12" s="288"/>
      <c r="P12" s="1243"/>
      <c r="Q12" s="1244"/>
      <c r="R12" s="1243"/>
      <c r="S12" s="1249"/>
      <c r="T12" s="1252" t="s">
        <v>494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628"/>
      <c r="F13" s="2627"/>
      <c r="G13" s="1301"/>
      <c r="H13" s="1301"/>
      <c r="I13" s="1301"/>
      <c r="J13" s="1301"/>
      <c r="K13" s="1301"/>
      <c r="L13" s="1304"/>
      <c r="M13" s="1306"/>
      <c r="N13" s="1306"/>
      <c r="O13" s="288"/>
      <c r="P13" s="1243"/>
      <c r="Q13" s="1244"/>
      <c r="R13" s="1243"/>
      <c r="S13" s="1249"/>
      <c r="T13" s="1252" t="s">
        <v>295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627"/>
      <c r="F14" s="1302"/>
      <c r="G14" s="1302"/>
      <c r="H14" s="1302"/>
      <c r="I14" s="1302"/>
      <c r="J14" s="1302"/>
      <c r="K14" s="1302"/>
      <c r="L14" s="1308"/>
      <c r="M14" s="1306"/>
      <c r="N14" s="1306"/>
      <c r="O14" s="288"/>
      <c r="P14" s="317"/>
      <c r="Q14" s="1271"/>
      <c r="R14" s="317"/>
      <c r="S14" s="1249"/>
      <c r="T14" s="1252" t="s">
        <v>299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66</v>
      </c>
      <c r="AH16" s="1663"/>
      <c r="AI16" s="1889" t="s">
        <v>66</v>
      </c>
      <c r="AQ16" s="1558">
        <v>0</v>
      </c>
    </row>
    <row r="17" spans="1:43" ht="14.25" hidden="1" customHeight="1">
      <c r="AL17" s="1568"/>
      <c r="AM17" s="1568"/>
      <c r="AN17" s="1568"/>
      <c r="AO17" s="1568"/>
      <c r="AP17" s="1568"/>
      <c r="AQ17" s="1558">
        <v>0</v>
      </c>
    </row>
    <row r="18" spans="1:43" ht="14.25" hidden="1" customHeight="1">
      <c r="O18" s="1272" t="s">
        <v>495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496</v>
      </c>
      <c r="P20" s="1435"/>
      <c r="Q20" s="1437"/>
      <c r="R20" s="1437"/>
      <c r="Y20" s="1434" t="s">
        <v>498</v>
      </c>
      <c r="AA20" s="1434" t="s">
        <v>499</v>
      </c>
      <c r="AC20" s="1434" t="s">
        <v>547</v>
      </c>
      <c r="AG20" s="1434" t="s">
        <v>498</v>
      </c>
      <c r="AI20" s="1434" t="s">
        <v>499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58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82"/>
      <c r="U24" s="2582"/>
      <c r="V24" s="2582"/>
      <c r="W24" s="2582"/>
      <c r="X24" s="2582"/>
      <c r="Y24" s="2582"/>
      <c r="Z24" s="2582"/>
      <c r="AA24" s="2582"/>
      <c r="AB24" s="2582"/>
      <c r="AC24" s="2582"/>
      <c r="AD24" s="2582"/>
      <c r="AE24" s="2582"/>
      <c r="AF24" s="2582"/>
      <c r="AG24" s="2582"/>
      <c r="AH24" s="2582"/>
      <c r="AI24" s="1170"/>
      <c r="AQ24" s="1558">
        <v>38</v>
      </c>
    </row>
    <row r="25" spans="1:43" ht="14.65" customHeight="1">
      <c r="Q25" s="228"/>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1562"/>
      <c r="AB27" s="1562"/>
      <c r="AC27" s="2594"/>
      <c r="AD27" s="2594"/>
      <c r="AE27" s="2594"/>
      <c r="AF27" s="2594"/>
      <c r="AG27" s="2594"/>
      <c r="AH27" s="259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592" t="s">
        <v>501</v>
      </c>
      <c r="T28" s="2592"/>
      <c r="U28" s="1299"/>
      <c r="V28" s="2593">
        <f>IF(TITLE_DATE_PR_CHANGE="",IF(TITLE_DATE_PR="","",TITLE_DATE_PR),TITLE_DATE_PR_CHANGE)</f>
        <v>45596.468541666669</v>
      </c>
      <c r="W28" s="2593"/>
      <c r="X28" s="2593"/>
      <c r="Y28" s="2593"/>
      <c r="Z28" s="2593"/>
      <c r="AA28" s="1562"/>
      <c r="AB28" s="1562"/>
      <c r="AC28" s="2593"/>
      <c r="AD28" s="2593"/>
      <c r="AE28" s="2593"/>
      <c r="AF28" s="2593"/>
      <c r="AG28" s="2593"/>
      <c r="AH28" s="259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592" t="s">
        <v>502</v>
      </c>
      <c r="T29" s="2592"/>
      <c r="U29" s="1299"/>
      <c r="V29" s="2594" t="str">
        <f>IF(TITLE_NUMBER_PR_CHANGE="",IF(TITLE_NUMBER_PR="","",TITLE_NUMBER_PR),TITLE_NUMBER_PR_CHANGE)</f>
        <v>440,503</v>
      </c>
      <c r="W29" s="2594"/>
      <c r="X29" s="2594"/>
      <c r="Y29" s="2594"/>
      <c r="Z29" s="2594"/>
      <c r="AA29" s="1562"/>
      <c r="AB29" s="1562"/>
      <c r="AC29" s="2594"/>
      <c r="AD29" s="2594"/>
      <c r="AE29" s="2594"/>
      <c r="AF29" s="2594"/>
      <c r="AG29" s="2594"/>
      <c r="AH29" s="259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1562"/>
      <c r="AB30" s="1562"/>
      <c r="AC30" s="2594"/>
      <c r="AD30" s="2594"/>
      <c r="AE30" s="2594"/>
      <c r="AF30" s="2594"/>
      <c r="AG30" s="2594"/>
      <c r="AH30" s="259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592" t="s">
        <v>501</v>
      </c>
      <c r="T32" s="2592"/>
      <c r="U32" s="1299"/>
      <c r="V32" s="2593">
        <f>IF(TITLE_DATE_PR_CHANGE="",IF(TITLE_DATE_PR="","",TITLE_DATE_PR),TITLE_DATE_PR_CHANGE)</f>
        <v>45596.468541666669</v>
      </c>
      <c r="W32" s="2593"/>
      <c r="X32" s="2593"/>
      <c r="Y32" s="2593"/>
      <c r="Z32" s="2593"/>
      <c r="AA32" s="1562"/>
      <c r="AB32" s="1562"/>
      <c r="AC32" s="2593"/>
      <c r="AD32" s="2593"/>
      <c r="AE32" s="2593"/>
      <c r="AF32" s="2593"/>
      <c r="AG32" s="2593"/>
      <c r="AH32" s="259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592" t="s">
        <v>502</v>
      </c>
      <c r="T33" s="2592"/>
      <c r="U33" s="1299"/>
      <c r="V33" s="2594" t="str">
        <f>IF(TITLE_NUMBER_PR_CHANGE="",IF(TITLE_NUMBER_PR="","",TITLE_NUMBER_PR),TITLE_NUMBER_PR_CHANGE)</f>
        <v>440,503</v>
      </c>
      <c r="W33" s="2594"/>
      <c r="X33" s="2594"/>
      <c r="Y33" s="2594"/>
      <c r="Z33" s="2594"/>
      <c r="AA33" s="1562"/>
      <c r="AB33" s="1562"/>
      <c r="AC33" s="2594"/>
      <c r="AD33" s="2594"/>
      <c r="AE33" s="2594"/>
      <c r="AF33" s="2594"/>
      <c r="AG33" s="2594"/>
      <c r="AH33" s="259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505</v>
      </c>
      <c r="AB34" s="1569"/>
      <c r="AC34" s="1562"/>
      <c r="AD34" s="1562"/>
      <c r="AE34" s="1562"/>
      <c r="AF34" s="1562"/>
      <c r="AG34" s="1562"/>
      <c r="AH34" s="1562"/>
      <c r="AI34" s="1569" t="s">
        <v>505</v>
      </c>
      <c r="AL34" s="305"/>
      <c r="AM34" s="305"/>
      <c r="AN34" s="305"/>
      <c r="AO34" s="305"/>
      <c r="AP34" s="305"/>
      <c r="AQ34" s="355">
        <v>1</v>
      </c>
    </row>
    <row r="35" spans="1:43" ht="14.65" customHeight="1">
      <c r="Q35" s="228"/>
      <c r="R35" s="313"/>
      <c r="S35" s="1202"/>
      <c r="T35" s="394"/>
      <c r="U35" s="1171"/>
      <c r="V35" s="2613"/>
      <c r="W35" s="2613"/>
      <c r="X35" s="2613"/>
      <c r="Y35" s="2613"/>
      <c r="Z35" s="2613"/>
      <c r="AA35" s="2613"/>
      <c r="AB35" s="1880"/>
      <c r="AC35" s="2613"/>
      <c r="AD35" s="2613"/>
      <c r="AE35" s="2613"/>
      <c r="AF35" s="2613"/>
      <c r="AG35" s="2613"/>
      <c r="AH35" s="2613"/>
      <c r="AI35" s="2613"/>
      <c r="AQ35" s="1558">
        <v>14</v>
      </c>
    </row>
    <row r="36" spans="1:43" ht="14.65" customHeight="1">
      <c r="Q36" s="228"/>
      <c r="R36" s="313"/>
      <c r="S36" s="2461" t="s">
        <v>380</v>
      </c>
      <c r="T36" s="2461"/>
      <c r="U36" s="2461"/>
      <c r="V36" s="2461"/>
      <c r="W36" s="2461"/>
      <c r="X36" s="2461"/>
      <c r="Y36" s="2461"/>
      <c r="Z36" s="2461"/>
      <c r="AA36" s="2535"/>
      <c r="AB36" s="2535"/>
      <c r="AC36" s="2535"/>
      <c r="AD36" s="2461"/>
      <c r="AE36" s="2461"/>
      <c r="AF36" s="2461"/>
      <c r="AG36" s="2461"/>
      <c r="AH36" s="2461"/>
      <c r="AI36" s="2461"/>
      <c r="AJ36" s="2461"/>
      <c r="AK36" s="2461" t="s">
        <v>381</v>
      </c>
      <c r="AQ36" s="1558">
        <v>14</v>
      </c>
    </row>
    <row r="37" spans="1:43" ht="14.65" customHeight="1">
      <c r="Q37" s="228"/>
      <c r="R37" s="313"/>
      <c r="S37" s="2614" t="s">
        <v>88</v>
      </c>
      <c r="T37" s="2563" t="s">
        <v>578</v>
      </c>
      <c r="U37" s="274"/>
      <c r="V37" s="2616"/>
      <c r="W37" s="2616"/>
      <c r="X37" s="2616"/>
      <c r="Y37" s="2616"/>
      <c r="Z37" s="2616"/>
      <c r="AA37" s="2563" t="s">
        <v>508</v>
      </c>
      <c r="AB37" s="2562" t="s">
        <v>579</v>
      </c>
      <c r="AC37" s="2562" t="s">
        <v>551</v>
      </c>
      <c r="AD37" s="2631" t="s">
        <v>507</v>
      </c>
      <c r="AE37" s="2631"/>
      <c r="AF37" s="2616"/>
      <c r="AG37" s="2616"/>
      <c r="AH37" s="2617"/>
      <c r="AI37" s="2618" t="s">
        <v>508</v>
      </c>
      <c r="AJ37" s="2621" t="s">
        <v>510</v>
      </c>
      <c r="AK37" s="2461"/>
      <c r="AQ37" s="1558">
        <v>14</v>
      </c>
    </row>
    <row r="38" spans="1:43" ht="35.65" customHeight="1">
      <c r="Q38" s="228"/>
      <c r="R38" s="313"/>
      <c r="S38" s="2614"/>
      <c r="T38" s="2563"/>
      <c r="U38" s="961"/>
      <c r="V38" s="2441" t="s">
        <v>554</v>
      </c>
      <c r="W38" s="2461"/>
      <c r="X38" s="2536" t="s">
        <v>514</v>
      </c>
      <c r="Y38" s="2643"/>
      <c r="Z38" s="2643"/>
      <c r="AA38" s="2563"/>
      <c r="AB38" s="2562"/>
      <c r="AC38" s="2562"/>
      <c r="AD38" s="2441" t="s">
        <v>554</v>
      </c>
      <c r="AE38" s="2461"/>
      <c r="AF38" s="2643" t="s">
        <v>514</v>
      </c>
      <c r="AG38" s="2643"/>
      <c r="AH38" s="2537"/>
      <c r="AI38" s="2619"/>
      <c r="AJ38" s="2622"/>
      <c r="AK38" s="2461"/>
      <c r="AQ38" s="1558">
        <v>34</v>
      </c>
    </row>
    <row r="39" spans="1:43" ht="14.65" customHeight="1">
      <c r="Q39" s="228"/>
      <c r="R39" s="313"/>
      <c r="S39" s="2614"/>
      <c r="T39" s="2563"/>
      <c r="U39" s="961"/>
      <c r="V39" s="2667" t="str">
        <f>IF($AD$39&lt;&gt;"",$AD$39,"")</f>
        <v/>
      </c>
      <c r="W39" s="2667"/>
      <c r="X39" s="2541"/>
      <c r="Y39" s="2644"/>
      <c r="Z39" s="2644"/>
      <c r="AA39" s="2563"/>
      <c r="AB39" s="2562"/>
      <c r="AC39" s="2562"/>
      <c r="AD39" s="2676"/>
      <c r="AE39" s="2666"/>
      <c r="AF39" s="2644"/>
      <c r="AG39" s="2644"/>
      <c r="AH39" s="2542"/>
      <c r="AI39" s="2619"/>
      <c r="AJ39" s="2622"/>
      <c r="AK39" s="2461"/>
      <c r="AQ39" s="1558">
        <v>14</v>
      </c>
    </row>
    <row r="40" spans="1:43" ht="14.65" customHeight="1">
      <c r="A40" s="1193"/>
      <c r="B40" s="1193" t="s">
        <v>201</v>
      </c>
      <c r="C40" s="1193" t="s">
        <v>202</v>
      </c>
      <c r="D40" s="1193" t="s">
        <v>203</v>
      </c>
      <c r="E40" s="1237" t="s">
        <v>515</v>
      </c>
      <c r="F40" s="1237" t="s">
        <v>516</v>
      </c>
      <c r="G40" s="1237" t="s">
        <v>517</v>
      </c>
      <c r="H40" s="1237" t="s">
        <v>518</v>
      </c>
      <c r="I40" s="1237" t="s">
        <v>519</v>
      </c>
      <c r="J40" s="1237" t="s">
        <v>520</v>
      </c>
      <c r="K40" s="1237" t="s">
        <v>521</v>
      </c>
      <c r="L40" s="1237" t="s">
        <v>496</v>
      </c>
      <c r="Q40" s="228"/>
      <c r="R40" s="313"/>
      <c r="S40" s="2614"/>
      <c r="T40" s="2563"/>
      <c r="U40" s="239"/>
      <c r="V40" s="1873" t="s">
        <v>555</v>
      </c>
      <c r="W40" s="1873" t="s">
        <v>556</v>
      </c>
      <c r="X40" s="1861" t="s">
        <v>524</v>
      </c>
      <c r="Y40" s="2568" t="s">
        <v>525</v>
      </c>
      <c r="Z40" s="2580"/>
      <c r="AA40" s="2563"/>
      <c r="AB40" s="2562"/>
      <c r="AC40" s="2562"/>
      <c r="AD40" s="1891" t="s">
        <v>555</v>
      </c>
      <c r="AE40" s="1882" t="s">
        <v>556</v>
      </c>
      <c r="AF40" s="1861" t="s">
        <v>524</v>
      </c>
      <c r="AG40" s="2568" t="s">
        <v>525</v>
      </c>
      <c r="AH40" s="2581"/>
      <c r="AI40" s="2620"/>
      <c r="AJ40" s="2623"/>
      <c r="AK40" s="2461"/>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177</v>
      </c>
      <c r="T41" s="1182" t="s">
        <v>102</v>
      </c>
      <c r="U41" s="1172" t="str">
        <f ca="1">OFFSET(U41,0,-1)</f>
        <v>2</v>
      </c>
      <c r="V41" s="1879">
        <f ca="1">OFFSET(V41,0,-1)+1</f>
        <v>3</v>
      </c>
      <c r="W41" s="1879">
        <f ca="1">OFFSET(W41,0,-1)+1</f>
        <v>4</v>
      </c>
      <c r="X41" s="1879">
        <f ca="1">OFFSET(X41,0,-1)+1</f>
        <v>5</v>
      </c>
      <c r="Y41" s="2612">
        <f ca="1">OFFSET(Y41,0,-1)+1</f>
        <v>6</v>
      </c>
      <c r="Z41" s="2612"/>
      <c r="AA41" s="1268">
        <f ca="1">OFFSET(AA41,0,-2)+1</f>
        <v>7</v>
      </c>
      <c r="AB41" s="1268"/>
      <c r="AC41" s="1268"/>
      <c r="AD41" s="1879">
        <f ca="1">OFFSET(AD41,0,-1)+1</f>
        <v>1</v>
      </c>
      <c r="AE41" s="1879">
        <f ca="1">OFFSET(AE41,0,-1)+1</f>
        <v>2</v>
      </c>
      <c r="AF41" s="1879">
        <f ca="1">OFFSET(AF41,0,-1)+1</f>
        <v>3</v>
      </c>
      <c r="AG41" s="2612">
        <f ca="1">OFFSET(AG41,0,-1)+1</f>
        <v>4</v>
      </c>
      <c r="AH41" s="2612"/>
      <c r="AI41" s="1879">
        <f ca="1">OFFSET(AI41,0,-2)+1</f>
        <v>5</v>
      </c>
      <c r="AJ41" s="1172">
        <f ca="1">OFFSET(AJ41,0,-1)</f>
        <v>5</v>
      </c>
      <c r="AK41" s="1879">
        <f ca="1">OFFSET(AK41,0,-1)+1</f>
        <v>6</v>
      </c>
      <c r="AL41" s="1563"/>
      <c r="AM41" s="1563"/>
      <c r="AN41" s="1563"/>
      <c r="AO41" s="1563"/>
      <c r="AP41" s="1563"/>
      <c r="AQ41" s="1568">
        <v>0</v>
      </c>
    </row>
    <row r="42" spans="1:43" ht="107.25" customHeight="1">
      <c r="A42" s="1194" t="s">
        <v>270</v>
      </c>
      <c r="B42" s="1194"/>
      <c r="C42" s="1194"/>
      <c r="D42" s="1194"/>
      <c r="E42" s="262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189</v>
      </c>
      <c r="U42" s="237"/>
      <c r="V42" s="2596"/>
      <c r="W42" s="2596"/>
      <c r="X42" s="2596"/>
      <c r="Y42" s="2596"/>
      <c r="Z42" s="2596"/>
      <c r="AA42" s="2597"/>
      <c r="AB42" s="1875"/>
      <c r="AC42" s="2596" t="str">
        <f>INDEX(PT_DIFFERENTIATION_NTAR,MATCH(A42,PT_DIFFERENTIATION_NTAR_ID,0))</f>
        <v/>
      </c>
      <c r="AD42" s="2596"/>
      <c r="AE42" s="2596"/>
      <c r="AF42" s="2596"/>
      <c r="AG42" s="2596"/>
      <c r="AH42" s="2596"/>
      <c r="AI42" s="2596"/>
      <c r="AJ42" s="259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270</v>
      </c>
      <c r="B43" s="1194" t="s">
        <v>271</v>
      </c>
      <c r="C43" s="1194"/>
      <c r="D43" s="1194"/>
      <c r="E43" s="2628"/>
      <c r="F43" s="2627">
        <v>1</v>
      </c>
      <c r="G43" s="1194"/>
      <c r="H43" s="1194"/>
      <c r="I43" s="1194"/>
      <c r="J43" s="1194"/>
      <c r="K43" s="1194"/>
      <c r="L43" s="1237"/>
      <c r="M43" s="1537"/>
      <c r="N43" s="1537"/>
      <c r="O43" s="1537"/>
      <c r="P43" s="1892"/>
      <c r="Q43" s="1338"/>
      <c r="R43" s="290"/>
      <c r="S43" s="1881" t="str">
        <f>INDEX(PT_DIFFERENTIATION_NUM_TER,MATCH(B43,PT_DIFFERENTIATION_TER_ID,0))</f>
        <v>.</v>
      </c>
      <c r="T43" s="1449" t="s">
        <v>477</v>
      </c>
      <c r="U43" s="237"/>
      <c r="V43" s="2596"/>
      <c r="W43" s="2596"/>
      <c r="X43" s="2596"/>
      <c r="Y43" s="2596"/>
      <c r="Z43" s="2596"/>
      <c r="AA43" s="2597"/>
      <c r="AB43" s="1875"/>
      <c r="AC43" s="2596" t="str">
        <f>INDEX(PT_DIFFERENTIATION_TER,MATCH(B43,PT_DIFFERENTIATION_TER_ID,0))</f>
        <v/>
      </c>
      <c r="AD43" s="2596"/>
      <c r="AE43" s="2596"/>
      <c r="AF43" s="2596"/>
      <c r="AG43" s="2596"/>
      <c r="AH43" s="2596"/>
      <c r="AI43" s="2596"/>
      <c r="AJ43" s="2597"/>
      <c r="AK43" s="1185" t="s">
        <v>478</v>
      </c>
      <c r="AM43" s="1551"/>
      <c r="AN43" s="1551" t="str">
        <f t="shared" si="1"/>
        <v>Территория действия тарифа</v>
      </c>
      <c r="AO43" s="1551"/>
      <c r="AP43" s="1551"/>
      <c r="AQ43" s="1558">
        <v>21</v>
      </c>
    </row>
    <row r="44" spans="1:43" ht="24" customHeight="1">
      <c r="A44" s="1194" t="s">
        <v>270</v>
      </c>
      <c r="B44" s="1194" t="s">
        <v>271</v>
      </c>
      <c r="C44" s="1194" t="s">
        <v>272</v>
      </c>
      <c r="D44" s="1194"/>
      <c r="E44" s="2628"/>
      <c r="F44" s="2628"/>
      <c r="G44" s="2627">
        <v>1</v>
      </c>
      <c r="H44" s="1194"/>
      <c r="I44" s="1194"/>
      <c r="J44" s="1194"/>
      <c r="K44" s="1194"/>
      <c r="L44" s="1237"/>
      <c r="M44" s="1537"/>
      <c r="N44" s="1537"/>
      <c r="O44" s="1537"/>
      <c r="P44" s="1339"/>
      <c r="Q44" s="1338"/>
      <c r="R44" s="290"/>
      <c r="S44" s="1881" t="str">
        <f>INDEX(PT_DIFFERENTIATION_NUM_CS,MATCH(C44,PT_DIFFERENTIATION_CS_ID,0))</f>
        <v>..</v>
      </c>
      <c r="T44" s="246" t="s">
        <v>479</v>
      </c>
      <c r="U44" s="237"/>
      <c r="V44" s="2596"/>
      <c r="W44" s="2596"/>
      <c r="X44" s="2596"/>
      <c r="Y44" s="2596"/>
      <c r="Z44" s="2596"/>
      <c r="AA44" s="2597"/>
      <c r="AB44" s="1875"/>
      <c r="AC44" s="2596" t="str">
        <f>INDEX(PT_DIFFERENTIATION_CS,MATCH(C44,PT_DIFFERENTIATION_CS_ID,0))</f>
        <v/>
      </c>
      <c r="AD44" s="2596"/>
      <c r="AE44" s="2596"/>
      <c r="AF44" s="2596"/>
      <c r="AG44" s="2596"/>
      <c r="AH44" s="2596"/>
      <c r="AI44" s="2596"/>
      <c r="AJ44" s="2597"/>
      <c r="AK44" s="1185" t="s">
        <v>480</v>
      </c>
      <c r="AM44" s="1551"/>
      <c r="AN44" s="1551" t="str">
        <f t="shared" si="1"/>
        <v xml:space="preserve">Наименование системы теплоснабжения </v>
      </c>
      <c r="AO44" s="1551"/>
      <c r="AP44" s="1551"/>
      <c r="AQ44" s="1558">
        <v>23</v>
      </c>
    </row>
    <row r="45" spans="1:43" ht="21.95" customHeight="1">
      <c r="A45" s="1194" t="s">
        <v>270</v>
      </c>
      <c r="B45" s="1194" t="s">
        <v>271</v>
      </c>
      <c r="C45" s="1194" t="s">
        <v>272</v>
      </c>
      <c r="D45" s="1194" t="s">
        <v>273</v>
      </c>
      <c r="E45" s="2628"/>
      <c r="F45" s="2628"/>
      <c r="G45" s="2628"/>
      <c r="H45" s="2627">
        <v>1</v>
      </c>
      <c r="I45" s="1194"/>
      <c r="J45" s="1194"/>
      <c r="K45" s="1194"/>
      <c r="L45" s="1237"/>
      <c r="M45" s="1537"/>
      <c r="N45" s="1537"/>
      <c r="O45" s="1537"/>
      <c r="P45" s="1339"/>
      <c r="Q45" s="1338"/>
      <c r="R45" s="290"/>
      <c r="S45" s="1881" t="str">
        <f>INDEX(PT_DIFFERENTIATION_NUM_IST_TE,MATCH(D45,PT_DIFFERENTIATION_IST_TE_ID,0))</f>
        <v>...</v>
      </c>
      <c r="T45" s="247" t="s">
        <v>481</v>
      </c>
      <c r="U45" s="237"/>
      <c r="V45" s="2596"/>
      <c r="W45" s="2596"/>
      <c r="X45" s="2596"/>
      <c r="Y45" s="2596"/>
      <c r="Z45" s="2596"/>
      <c r="AA45" s="2597"/>
      <c r="AB45" s="1875"/>
      <c r="AC45" s="2596" t="str">
        <f>INDEX(PT_DIFFERENTIATION_IST_TE,MATCH(D45,PT_DIFFERENTIATION_IST_TE_ID,0))</f>
        <v/>
      </c>
      <c r="AD45" s="2596"/>
      <c r="AE45" s="2596"/>
      <c r="AF45" s="2596"/>
      <c r="AG45" s="2596"/>
      <c r="AH45" s="2596"/>
      <c r="AI45" s="2596"/>
      <c r="AJ45" s="2597"/>
      <c r="AK45" s="1185" t="s">
        <v>482</v>
      </c>
      <c r="AM45" s="1551"/>
      <c r="AN45" s="1551" t="str">
        <f t="shared" si="1"/>
        <v xml:space="preserve">Источник тепловой энергии  </v>
      </c>
      <c r="AO45" s="1551"/>
      <c r="AP45" s="1551"/>
      <c r="AQ45" s="1558">
        <v>21</v>
      </c>
    </row>
    <row r="46" spans="1:43" s="1569" customFormat="1" ht="0" hidden="1" customHeight="1">
      <c r="A46" s="1302" t="s">
        <v>270</v>
      </c>
      <c r="B46" s="1302" t="s">
        <v>271</v>
      </c>
      <c r="C46" s="1302" t="s">
        <v>272</v>
      </c>
      <c r="D46" s="1302" t="s">
        <v>273</v>
      </c>
      <c r="E46" s="2628"/>
      <c r="F46" s="2628"/>
      <c r="G46" s="2628"/>
      <c r="H46" s="2628"/>
      <c r="I46" s="2461" t="str">
        <f>S45&amp;".1"</f>
        <v>....1</v>
      </c>
      <c r="J46" s="1302"/>
      <c r="K46" s="1302"/>
      <c r="L46" s="1308" t="s">
        <v>483</v>
      </c>
      <c r="M46" s="1173"/>
      <c r="N46" s="1173"/>
      <c r="O46" s="1173"/>
      <c r="P46" s="2605">
        <v>1</v>
      </c>
      <c r="Q46" s="1877"/>
      <c r="R46" s="293"/>
      <c r="S46" s="972"/>
      <c r="T46" s="1310"/>
      <c r="U46" s="1311"/>
      <c r="V46" s="2633"/>
      <c r="W46" s="2633"/>
      <c r="X46" s="2633"/>
      <c r="Y46" s="2633"/>
      <c r="Z46" s="2633"/>
      <c r="AA46" s="2634"/>
      <c r="AB46" s="1883"/>
      <c r="AC46" s="2633"/>
      <c r="AD46" s="2633"/>
      <c r="AE46" s="2633"/>
      <c r="AF46" s="2633"/>
      <c r="AG46" s="2633"/>
      <c r="AH46" s="2633"/>
      <c r="AI46" s="2633"/>
      <c r="AJ46" s="2634"/>
      <c r="AK46" s="1312"/>
      <c r="AM46" s="1551"/>
      <c r="AN46" s="1551" t="str">
        <f t="shared" si="1"/>
        <v/>
      </c>
      <c r="AO46" s="1551"/>
      <c r="AP46" s="1551"/>
      <c r="AQ46" s="1563">
        <v>0</v>
      </c>
    </row>
    <row r="47" spans="1:43" s="1569" customFormat="1" ht="0" hidden="1" customHeight="1">
      <c r="A47" s="1302" t="s">
        <v>270</v>
      </c>
      <c r="B47" s="1302" t="s">
        <v>271</v>
      </c>
      <c r="C47" s="1302" t="s">
        <v>272</v>
      </c>
      <c r="D47" s="1302" t="s">
        <v>273</v>
      </c>
      <c r="E47" s="2628"/>
      <c r="F47" s="2628"/>
      <c r="G47" s="2628"/>
      <c r="H47" s="2628"/>
      <c r="I47" s="2442"/>
      <c r="J47" s="2461" t="str">
        <f>S45&amp;".1"</f>
        <v>....1</v>
      </c>
      <c r="K47" s="1302"/>
      <c r="L47" s="1308"/>
      <c r="M47" s="1173"/>
      <c r="N47" s="1173"/>
      <c r="O47" s="1173"/>
      <c r="P47" s="2605"/>
      <c r="Q47" s="2605">
        <v>1</v>
      </c>
      <c r="R47" s="294"/>
      <c r="S47" s="972"/>
      <c r="T47" s="1326"/>
      <c r="U47" s="1311"/>
      <c r="V47" s="2633"/>
      <c r="W47" s="2633"/>
      <c r="X47" s="2633"/>
      <c r="Y47" s="2633"/>
      <c r="Z47" s="2633"/>
      <c r="AA47" s="2634"/>
      <c r="AB47" s="1883"/>
      <c r="AC47" s="2633"/>
      <c r="AD47" s="2633"/>
      <c r="AE47" s="2633"/>
      <c r="AF47" s="2633"/>
      <c r="AG47" s="2633"/>
      <c r="AH47" s="2633"/>
      <c r="AI47" s="2633"/>
      <c r="AJ47" s="2634"/>
      <c r="AK47" s="1312"/>
      <c r="AM47" s="1551"/>
      <c r="AN47" s="1551" t="str">
        <f t="shared" si="1"/>
        <v/>
      </c>
      <c r="AO47" s="1551"/>
      <c r="AP47" s="1551"/>
      <c r="AQ47" s="1563">
        <v>0</v>
      </c>
    </row>
    <row r="48" spans="1:43" ht="21.95" customHeight="1">
      <c r="A48" s="1194" t="s">
        <v>270</v>
      </c>
      <c r="B48" s="1194" t="s">
        <v>271</v>
      </c>
      <c r="C48" s="1194" t="s">
        <v>272</v>
      </c>
      <c r="D48" s="1194" t="s">
        <v>273</v>
      </c>
      <c r="E48" s="2628"/>
      <c r="F48" s="2628"/>
      <c r="G48" s="2628"/>
      <c r="H48" s="2628"/>
      <c r="I48" s="2442"/>
      <c r="J48" s="2442"/>
      <c r="K48" s="1864" t="str">
        <f>S45&amp;".1"</f>
        <v>....1</v>
      </c>
      <c r="L48" s="1237"/>
      <c r="P48" s="2605"/>
      <c r="Q48" s="2605"/>
      <c r="R48" s="294">
        <v>1</v>
      </c>
      <c r="S48" s="1885" t="str">
        <f>$K48</f>
        <v>....1</v>
      </c>
      <c r="T48" s="1884"/>
      <c r="U48" s="237"/>
      <c r="V48" s="688"/>
      <c r="W48" s="1184"/>
      <c r="X48" s="1878"/>
      <c r="Y48" s="1865" t="s">
        <v>66</v>
      </c>
      <c r="Z48" s="1878"/>
      <c r="AA48" s="1865" t="s">
        <v>66</v>
      </c>
      <c r="AB48" s="1887"/>
      <c r="AC48" s="1886" t="s">
        <v>28</v>
      </c>
      <c r="AD48" s="688"/>
      <c r="AE48" s="1184"/>
      <c r="AF48" s="1878"/>
      <c r="AG48" s="1865" t="s">
        <v>66</v>
      </c>
      <c r="AH48" s="1878"/>
      <c r="AI48" s="1865" t="s">
        <v>66</v>
      </c>
      <c r="AJ48" s="1275"/>
      <c r="AK48" s="2624" t="s">
        <v>557</v>
      </c>
      <c r="AL48" s="1563" t="e">
        <f ca="1">STRCHECKDATE(#REF!)</f>
        <v>#NAME?</v>
      </c>
      <c r="AM48" s="1551"/>
      <c r="AN48" s="1551" t="str">
        <f t="shared" si="1"/>
        <v/>
      </c>
      <c r="AO48" s="1551"/>
      <c r="AP48" s="1551"/>
      <c r="AQ48" s="1558">
        <v>21</v>
      </c>
    </row>
    <row r="49" spans="1:43" ht="11.45" customHeight="1">
      <c r="A49" s="1194" t="s">
        <v>270</v>
      </c>
      <c r="B49" s="1194" t="s">
        <v>271</v>
      </c>
      <c r="C49" s="1194" t="s">
        <v>272</v>
      </c>
      <c r="D49" s="1194" t="s">
        <v>273</v>
      </c>
      <c r="E49" s="2628"/>
      <c r="F49" s="2628"/>
      <c r="G49" s="2628"/>
      <c r="H49" s="2628"/>
      <c r="I49" s="2442"/>
      <c r="J49" s="2461"/>
      <c r="K49" s="1194"/>
      <c r="L49" s="1237"/>
      <c r="P49" s="2605"/>
      <c r="Q49" s="2605"/>
      <c r="R49" s="293"/>
      <c r="S49" s="1205"/>
      <c r="T49" s="224" t="s">
        <v>545</v>
      </c>
      <c r="U49" s="537"/>
      <c r="V49" s="537"/>
      <c r="W49" s="537"/>
      <c r="X49" s="537"/>
      <c r="Y49" s="537"/>
      <c r="Z49" s="537"/>
      <c r="AA49" s="261"/>
      <c r="AB49" s="537"/>
      <c r="AC49" s="537"/>
      <c r="AD49" s="537"/>
      <c r="AE49" s="537"/>
      <c r="AF49" s="537"/>
      <c r="AG49" s="537"/>
      <c r="AH49" s="537"/>
      <c r="AI49" s="537"/>
      <c r="AJ49" s="261"/>
      <c r="AK49" s="2626"/>
      <c r="AM49" s="1551"/>
      <c r="AN49" s="1551" t="str">
        <f t="shared" si="1"/>
        <v>Добавить строку</v>
      </c>
      <c r="AO49" s="1551"/>
      <c r="AP49" s="1551"/>
      <c r="AQ49" s="1558">
        <v>11</v>
      </c>
    </row>
    <row r="50" spans="1:43" s="1569" customFormat="1" ht="1.1499999999999999" customHeight="1">
      <c r="A50" s="1302" t="s">
        <v>270</v>
      </c>
      <c r="B50" s="1302" t="s">
        <v>271</v>
      </c>
      <c r="C50" s="1302" t="s">
        <v>272</v>
      </c>
      <c r="D50" s="1302" t="s">
        <v>273</v>
      </c>
      <c r="E50" s="2628"/>
      <c r="F50" s="2628"/>
      <c r="G50" s="2628"/>
      <c r="H50" s="2628"/>
      <c r="I50" s="2461"/>
      <c r="J50" s="1302"/>
      <c r="K50" s="1302"/>
      <c r="L50" s="1308"/>
      <c r="M50" s="1173"/>
      <c r="N50" s="1173"/>
      <c r="O50" s="1173"/>
      <c r="P50" s="2605"/>
      <c r="Q50" s="1877"/>
      <c r="R50" s="293"/>
      <c r="S50" s="1313"/>
      <c r="T50" s="1314" t="s">
        <v>492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270</v>
      </c>
      <c r="B51" s="1302" t="s">
        <v>271</v>
      </c>
      <c r="C51" s="1302" t="s">
        <v>272</v>
      </c>
      <c r="D51" s="1302" t="s">
        <v>273</v>
      </c>
      <c r="E51" s="2628"/>
      <c r="F51" s="2628"/>
      <c r="G51" s="2628"/>
      <c r="H51" s="262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270</v>
      </c>
      <c r="B52" s="1302" t="s">
        <v>271</v>
      </c>
      <c r="C52" s="1302" t="s">
        <v>272</v>
      </c>
      <c r="D52" s="1301"/>
      <c r="E52" s="2628"/>
      <c r="F52" s="2628"/>
      <c r="G52" s="2627"/>
      <c r="H52" s="1301"/>
      <c r="I52" s="1301"/>
      <c r="J52" s="1301"/>
      <c r="K52" s="1301"/>
      <c r="L52" s="1304"/>
      <c r="M52" s="1305"/>
      <c r="N52" s="1305"/>
      <c r="O52" s="288"/>
      <c r="P52" s="1243"/>
      <c r="Q52" s="1244"/>
      <c r="R52" s="1243"/>
      <c r="S52" s="1249"/>
      <c r="T52" s="1252" t="s">
        <v>494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270</v>
      </c>
      <c r="B53" s="1302" t="s">
        <v>271</v>
      </c>
      <c r="C53" s="1301"/>
      <c r="D53" s="1301"/>
      <c r="E53" s="2628"/>
      <c r="F53" s="2627"/>
      <c r="G53" s="1301"/>
      <c r="H53" s="1301"/>
      <c r="I53" s="1301"/>
      <c r="J53" s="1301"/>
      <c r="K53" s="1301"/>
      <c r="L53" s="1304"/>
      <c r="M53" s="1306"/>
      <c r="N53" s="1306"/>
      <c r="O53" s="28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270</v>
      </c>
      <c r="B54" s="1302"/>
      <c r="C54" s="1302"/>
      <c r="D54" s="1302"/>
      <c r="E54" s="2628"/>
      <c r="F54" s="1302"/>
      <c r="G54" s="1302"/>
      <c r="H54" s="1302"/>
      <c r="I54" s="1302"/>
      <c r="J54" s="1302"/>
      <c r="K54" s="1302"/>
      <c r="L54" s="1308"/>
      <c r="M54" s="1306"/>
      <c r="N54" s="1306"/>
      <c r="O54" s="288"/>
      <c r="P54" s="317"/>
      <c r="Q54" s="1271"/>
      <c r="R54" s="317"/>
      <c r="S54" s="1249"/>
      <c r="T54" s="1252" t="s">
        <v>299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270</v>
      </c>
      <c r="B55" s="1302"/>
      <c r="C55" s="1302"/>
      <c r="D55" s="1302"/>
      <c r="E55" s="2627"/>
      <c r="F55" s="1302"/>
      <c r="G55" s="1302"/>
      <c r="H55" s="1302"/>
      <c r="I55" s="1302"/>
      <c r="J55" s="1302"/>
      <c r="K55" s="1302"/>
      <c r="L55" s="1308"/>
      <c r="M55" s="1306"/>
      <c r="N55" s="1306"/>
      <c r="O55" s="288"/>
      <c r="P55" s="317"/>
      <c r="Q55" s="1271"/>
      <c r="R55" s="317"/>
      <c r="S55" s="1249"/>
      <c r="T55" s="1252" t="s">
        <v>299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300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600"/>
      <c r="U58" s="2600"/>
      <c r="V58" s="2600"/>
      <c r="W58" s="2600"/>
      <c r="X58" s="2600"/>
      <c r="Y58" s="2600"/>
      <c r="Z58" s="2600"/>
      <c r="AA58" s="2600"/>
      <c r="AB58" s="2600"/>
      <c r="AC58" s="2600"/>
      <c r="AD58" s="2600"/>
      <c r="AE58" s="2600"/>
      <c r="AF58" s="2600"/>
      <c r="AG58" s="2600"/>
      <c r="AH58" s="2600"/>
      <c r="AI58" s="2600"/>
      <c r="AJ58" s="2600"/>
      <c r="AK58" s="2600"/>
      <c r="AQ58" s="1558">
        <v>19</v>
      </c>
    </row>
    <row r="59" spans="1:43" ht="21" customHeight="1">
      <c r="O59" s="1562"/>
      <c r="T59" s="2600"/>
      <c r="U59" s="2600"/>
      <c r="V59" s="2600"/>
      <c r="W59" s="2600"/>
      <c r="X59" s="2600"/>
      <c r="Y59" s="2600"/>
      <c r="Z59" s="2600"/>
      <c r="AA59" s="2600"/>
      <c r="AB59" s="2600"/>
      <c r="AC59" s="2600"/>
      <c r="AD59" s="2600"/>
      <c r="AE59" s="2600"/>
      <c r="AF59" s="2600"/>
      <c r="AG59" s="2600"/>
      <c r="AH59" s="2600"/>
      <c r="AI59" s="2600"/>
      <c r="AJ59" s="2600"/>
      <c r="AK59" s="260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600"/>
      <c r="U61" s="2600"/>
      <c r="V61" s="2600"/>
      <c r="W61" s="2600"/>
      <c r="X61" s="2600"/>
      <c r="Y61" s="2600"/>
      <c r="Z61" s="2600"/>
      <c r="AA61" s="2600"/>
      <c r="AB61" s="2600"/>
      <c r="AC61" s="2600"/>
      <c r="AD61" s="2600"/>
      <c r="AE61" s="2600"/>
      <c r="AF61" s="2600"/>
      <c r="AG61" s="2600"/>
      <c r="AH61" s="2600"/>
      <c r="AI61" s="2600"/>
      <c r="AJ61" s="2600"/>
      <c r="AK61" s="2600"/>
      <c r="AQ61" s="1558">
        <v>19</v>
      </c>
    </row>
    <row r="62" spans="1:43" ht="16.899999999999999" customHeight="1">
      <c r="O62" s="1562"/>
      <c r="T62" s="2600"/>
      <c r="U62" s="2600"/>
      <c r="V62" s="2600"/>
      <c r="W62" s="2600"/>
      <c r="X62" s="2600"/>
      <c r="Y62" s="2600"/>
      <c r="Z62" s="2600"/>
      <c r="AA62" s="2600"/>
      <c r="AB62" s="2600"/>
      <c r="AC62" s="2600"/>
      <c r="AD62" s="2600"/>
      <c r="AE62" s="2600"/>
      <c r="AF62" s="2600"/>
      <c r="AG62" s="2600"/>
      <c r="AH62" s="2600"/>
      <c r="AI62" s="2600"/>
      <c r="AJ62" s="2600"/>
      <c r="AK62" s="2600"/>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601">
        <v>1</v>
      </c>
      <c r="F2" s="1290"/>
      <c r="G2" s="1290"/>
      <c r="H2" s="1290"/>
      <c r="I2" s="1290"/>
      <c r="J2" s="1290"/>
      <c r="K2" s="1290"/>
      <c r="L2" s="1291"/>
      <c r="M2" s="1292"/>
      <c r="N2" s="1292"/>
      <c r="O2" s="1292"/>
      <c r="P2" s="1336"/>
      <c r="Q2" s="804"/>
      <c r="R2" s="292"/>
      <c r="S2" s="1392" t="e">
        <f>INDEX(PT_DIFFERENTIATION_NUM_NTAR,MATCH(A2,PT_DIFFERENTIATION_NTAR_ID,0))</f>
        <v>#N/A</v>
      </c>
      <c r="T2" s="235" t="s">
        <v>189</v>
      </c>
      <c r="U2" s="237"/>
      <c r="V2" s="2596"/>
      <c r="W2" s="2596"/>
      <c r="X2" s="2596"/>
      <c r="Y2" s="2596"/>
      <c r="Z2" s="2596"/>
      <c r="AA2" s="2596"/>
      <c r="AB2" s="2596"/>
      <c r="AC2" s="2597"/>
      <c r="AD2" s="2595" t="e">
        <f>INDEX(PT_DIFFERENTIATION_NTAR,MATCH(A2,PT_DIFFERENTIATION_NTAR_ID,0))</f>
        <v>#N/A</v>
      </c>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02"/>
      <c r="F3" s="2601">
        <v>1</v>
      </c>
      <c r="G3" s="1290"/>
      <c r="H3" s="1290"/>
      <c r="I3" s="1290"/>
      <c r="J3" s="1290"/>
      <c r="K3" s="1290"/>
      <c r="L3" s="1291"/>
      <c r="M3" s="1292"/>
      <c r="N3" s="1292"/>
      <c r="O3" s="1292"/>
      <c r="P3" s="1337"/>
      <c r="Q3" s="1338"/>
      <c r="R3" s="290"/>
      <c r="S3" s="1392" t="e">
        <f>INDEX(PT_DIFFERENTIATION_NUM_TER,MATCH(B3,PT_DIFFERENTIATION_TER_ID,0))</f>
        <v>#N/A</v>
      </c>
      <c r="T3" s="245" t="s">
        <v>477</v>
      </c>
      <c r="U3" s="237"/>
      <c r="V3" s="2596"/>
      <c r="W3" s="2596"/>
      <c r="X3" s="2596"/>
      <c r="Y3" s="2596"/>
      <c r="Z3" s="2596"/>
      <c r="AA3" s="2596"/>
      <c r="AB3" s="2596"/>
      <c r="AC3" s="2597"/>
      <c r="AD3" s="2595" t="e">
        <f>INDEX(PT_DIFFERENTIATION_TER,MATCH(B3,PT_DIFFERENTIATION_TER_ID,0))</f>
        <v>#N/A</v>
      </c>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7"/>
      <c r="BC3" s="1185" t="s">
        <v>478</v>
      </c>
      <c r="BE3" s="437"/>
      <c r="BF3" s="437" t="str">
        <f t="shared" si="0"/>
        <v>Территория действия тарифа</v>
      </c>
      <c r="BG3" s="437"/>
      <c r="BH3" s="437"/>
      <c r="BI3" s="1082">
        <v>0</v>
      </c>
    </row>
    <row r="4" spans="1:61" ht="42" hidden="1" customHeight="1">
      <c r="A4" s="1290"/>
      <c r="B4" s="1290"/>
      <c r="C4" s="1290"/>
      <c r="D4" s="1290"/>
      <c r="E4" s="2602"/>
      <c r="F4" s="2602"/>
      <c r="G4" s="2601">
        <v>1</v>
      </c>
      <c r="H4" s="1290"/>
      <c r="I4" s="1290"/>
      <c r="J4" s="1290"/>
      <c r="K4" s="1290"/>
      <c r="L4" s="1291"/>
      <c r="M4" s="1292"/>
      <c r="N4" s="1292"/>
      <c r="O4" s="1292"/>
      <c r="P4" s="1339"/>
      <c r="Q4" s="1338"/>
      <c r="R4" s="290"/>
      <c r="S4" s="1392" t="e">
        <f>INDEX(PT_DIFFERENTIATION_NUM_CS,MATCH(C4,PT_DIFFERENTIATION_CS_ID,0))</f>
        <v>#N/A</v>
      </c>
      <c r="T4" s="246" t="s">
        <v>558</v>
      </c>
      <c r="U4" s="237"/>
      <c r="V4" s="2596"/>
      <c r="W4" s="2596"/>
      <c r="X4" s="2596"/>
      <c r="Y4" s="2596"/>
      <c r="Z4" s="2596"/>
      <c r="AA4" s="2596"/>
      <c r="AB4" s="2596"/>
      <c r="AC4" s="2597"/>
      <c r="AD4" s="2595" t="e">
        <f>INDEX(PT_DIFFERENTIATION_CS,MATCH(C4,PT_DIFFERENTIATION_CS_ID,0))</f>
        <v>#N/A</v>
      </c>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7"/>
      <c r="BC4" s="1185" t="s">
        <v>559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602"/>
      <c r="F5" s="2602"/>
      <c r="G5" s="2602"/>
      <c r="H5" s="2601">
        <v>1</v>
      </c>
      <c r="I5" s="1270"/>
      <c r="J5" s="1270"/>
      <c r="K5" s="1270"/>
      <c r="L5" s="1273"/>
      <c r="M5" s="1242"/>
      <c r="N5" s="1242"/>
      <c r="O5" s="1242"/>
      <c r="P5" s="1424"/>
      <c r="Q5" s="1425"/>
      <c r="R5" s="294"/>
      <c r="S5" s="972"/>
      <c r="T5" s="1426"/>
      <c r="U5" s="1311"/>
      <c r="V5" s="2633"/>
      <c r="W5" s="2633"/>
      <c r="X5" s="2633"/>
      <c r="Y5" s="2633"/>
      <c r="Z5" s="2633"/>
      <c r="AA5" s="2633"/>
      <c r="AB5" s="2633"/>
      <c r="AC5" s="2634"/>
      <c r="AD5" s="2632"/>
      <c r="AE5" s="2633"/>
      <c r="AF5" s="2633"/>
      <c r="AG5" s="2633"/>
      <c r="AH5" s="2633"/>
      <c r="AI5" s="2633"/>
      <c r="AJ5" s="2633"/>
      <c r="AK5" s="2633"/>
      <c r="AL5" s="2633"/>
      <c r="AM5" s="2633"/>
      <c r="AN5" s="2633"/>
      <c r="AO5" s="2633"/>
      <c r="AP5" s="2633"/>
      <c r="AQ5" s="2633"/>
      <c r="AR5" s="2633"/>
      <c r="AS5" s="2633"/>
      <c r="AT5" s="2633"/>
      <c r="AU5" s="2633"/>
      <c r="AV5" s="2633"/>
      <c r="AW5" s="2633"/>
      <c r="AX5" s="2633"/>
      <c r="AY5" s="2633"/>
      <c r="AZ5" s="2633"/>
      <c r="BA5" s="2633"/>
      <c r="BB5" s="2634"/>
      <c r="BC5" s="1312" t="s">
        <v>482</v>
      </c>
      <c r="BE5" s="437"/>
      <c r="BF5" s="437" t="str">
        <f t="shared" si="0"/>
        <v/>
      </c>
      <c r="BG5" s="437"/>
      <c r="BH5" s="437"/>
      <c r="BI5" s="448">
        <v>0</v>
      </c>
    </row>
    <row r="6" spans="1:61" s="1569" customFormat="1" ht="14.25" hidden="1" customHeight="1">
      <c r="A6" s="1270"/>
      <c r="B6" s="1270"/>
      <c r="C6" s="1270"/>
      <c r="D6" s="1270"/>
      <c r="E6" s="2602"/>
      <c r="F6" s="2602"/>
      <c r="G6" s="2602"/>
      <c r="H6" s="2602"/>
      <c r="I6" s="2603" t="str">
        <f>S5&amp;".1"</f>
        <v>.1</v>
      </c>
      <c r="J6" s="1270"/>
      <c r="K6" s="1270"/>
      <c r="L6" s="1273" t="s">
        <v>483</v>
      </c>
      <c r="M6" s="447"/>
      <c r="N6" s="447"/>
      <c r="O6" s="447"/>
      <c r="P6" s="2605">
        <v>1</v>
      </c>
      <c r="Q6" s="1389"/>
      <c r="R6" s="293"/>
      <c r="S6" s="972"/>
      <c r="T6" s="1310"/>
      <c r="U6" s="1311"/>
      <c r="V6" s="2633"/>
      <c r="W6" s="2633"/>
      <c r="X6" s="2633"/>
      <c r="Y6" s="2633"/>
      <c r="Z6" s="2633"/>
      <c r="AA6" s="2633"/>
      <c r="AB6" s="2633"/>
      <c r="AC6" s="2634"/>
      <c r="AD6" s="2632"/>
      <c r="AE6" s="2633"/>
      <c r="AF6" s="2633"/>
      <c r="AG6" s="2633"/>
      <c r="AH6" s="2633"/>
      <c r="AI6" s="2633"/>
      <c r="AJ6" s="2633"/>
      <c r="AK6" s="2633"/>
      <c r="AL6" s="2633"/>
      <c r="AM6" s="2633"/>
      <c r="AN6" s="2633"/>
      <c r="AO6" s="2633"/>
      <c r="AP6" s="2633"/>
      <c r="AQ6" s="2633"/>
      <c r="AR6" s="2633"/>
      <c r="AS6" s="2633"/>
      <c r="AT6" s="2633"/>
      <c r="AU6" s="2633"/>
      <c r="AV6" s="2633"/>
      <c r="AW6" s="2633"/>
      <c r="AX6" s="2633"/>
      <c r="AY6" s="2633"/>
      <c r="AZ6" s="2633"/>
      <c r="BA6" s="2633"/>
      <c r="BB6" s="2634"/>
      <c r="BC6" s="1312"/>
      <c r="BE6" s="437"/>
      <c r="BF6" s="437" t="str">
        <f t="shared" si="0"/>
        <v/>
      </c>
      <c r="BG6" s="437"/>
      <c r="BH6" s="437"/>
      <c r="BI6" s="448">
        <v>0</v>
      </c>
    </row>
    <row r="7" spans="1:61" s="1569" customFormat="1" ht="14.25" hidden="1" customHeight="1">
      <c r="A7" s="1270"/>
      <c r="B7" s="1270"/>
      <c r="C7" s="1270"/>
      <c r="D7" s="1270"/>
      <c r="E7" s="2602"/>
      <c r="F7" s="2602"/>
      <c r="G7" s="2602"/>
      <c r="H7" s="2602"/>
      <c r="I7" s="2604"/>
      <c r="J7" s="2603" t="str">
        <f>S5&amp;".1"</f>
        <v>.1</v>
      </c>
      <c r="K7" s="1270"/>
      <c r="L7" s="1273"/>
      <c r="M7" s="447"/>
      <c r="N7" s="447"/>
      <c r="O7" s="447"/>
      <c r="P7" s="2605"/>
      <c r="Q7" s="2605">
        <v>1</v>
      </c>
      <c r="R7" s="294"/>
      <c r="S7" s="972"/>
      <c r="T7" s="1326"/>
      <c r="U7" s="1311"/>
      <c r="V7" s="2633"/>
      <c r="W7" s="2633"/>
      <c r="X7" s="2633"/>
      <c r="Y7" s="2633"/>
      <c r="Z7" s="2633"/>
      <c r="AA7" s="2633"/>
      <c r="AB7" s="2633"/>
      <c r="AC7" s="2634"/>
      <c r="AD7" s="2632"/>
      <c r="AE7" s="2633"/>
      <c r="AF7" s="2633"/>
      <c r="AG7" s="2633"/>
      <c r="AH7" s="2633"/>
      <c r="AI7" s="2633"/>
      <c r="AJ7" s="2633"/>
      <c r="AK7" s="2633"/>
      <c r="AL7" s="2633"/>
      <c r="AM7" s="2633"/>
      <c r="AN7" s="2633"/>
      <c r="AO7" s="2633"/>
      <c r="AP7" s="2633"/>
      <c r="AQ7" s="2633"/>
      <c r="AR7" s="2633"/>
      <c r="AS7" s="2633"/>
      <c r="AT7" s="2633"/>
      <c r="AU7" s="2633"/>
      <c r="AV7" s="2633"/>
      <c r="AW7" s="2633"/>
      <c r="AX7" s="2633"/>
      <c r="AY7" s="2633"/>
      <c r="AZ7" s="2633"/>
      <c r="BA7" s="2633"/>
      <c r="BB7" s="2634"/>
      <c r="BC7" s="1312"/>
      <c r="BE7" s="437"/>
      <c r="BF7" s="437" t="str">
        <f t="shared" si="0"/>
        <v/>
      </c>
      <c r="BG7" s="437"/>
      <c r="BH7" s="437"/>
      <c r="BI7" s="448">
        <v>0</v>
      </c>
    </row>
    <row r="8" spans="1:61" ht="11.25" hidden="1" customHeight="1">
      <c r="A8" s="1290"/>
      <c r="B8" s="1290"/>
      <c r="C8" s="1290"/>
      <c r="D8" s="1290"/>
      <c r="E8" s="2602"/>
      <c r="F8" s="2602"/>
      <c r="G8" s="2602"/>
      <c r="H8" s="2602"/>
      <c r="I8" s="2604"/>
      <c r="J8" s="2604"/>
      <c r="K8" s="2603" t="e">
        <f>S4&amp;".1"</f>
        <v>#N/A</v>
      </c>
      <c r="L8" s="1291"/>
      <c r="P8" s="2605"/>
      <c r="Q8" s="2605"/>
      <c r="R8" s="2661">
        <v>1</v>
      </c>
      <c r="S8" s="2658" t="e">
        <f>$K8</f>
        <v>#N/A</v>
      </c>
      <c r="T8" s="2678"/>
      <c r="U8" s="237"/>
      <c r="V8" s="688"/>
      <c r="W8" s="1184"/>
      <c r="X8" s="688"/>
      <c r="Y8" s="1184"/>
      <c r="Z8" s="1661"/>
      <c r="AA8" s="1386" t="s">
        <v>66</v>
      </c>
      <c r="AB8" s="1661"/>
      <c r="AC8" s="1386" t="s">
        <v>66</v>
      </c>
      <c r="AD8" s="2531" t="s">
        <v>66</v>
      </c>
      <c r="AE8" s="2654"/>
      <c r="AF8" s="2559">
        <v>1</v>
      </c>
      <c r="AG8" s="2677"/>
      <c r="AH8" s="2471" t="s">
        <v>66</v>
      </c>
      <c r="AI8" s="2654"/>
      <c r="AJ8" s="2559">
        <v>1</v>
      </c>
      <c r="AK8" s="2668" t="s">
        <v>28</v>
      </c>
      <c r="AL8" s="2471" t="s">
        <v>66</v>
      </c>
      <c r="AM8" s="2536"/>
      <c r="AN8" s="2559">
        <v>1</v>
      </c>
      <c r="AO8" s="2681"/>
      <c r="AP8" s="2682" t="s">
        <v>66</v>
      </c>
      <c r="AQ8" s="248"/>
      <c r="AR8" s="1390">
        <v>1</v>
      </c>
      <c r="AS8" s="1393" t="s">
        <v>28</v>
      </c>
      <c r="AT8" s="688"/>
      <c r="AU8" s="1184"/>
      <c r="AV8" s="688"/>
      <c r="AW8" s="1184"/>
      <c r="AX8" s="1661"/>
      <c r="AY8" s="1386" t="s">
        <v>66</v>
      </c>
      <c r="AZ8" s="1661"/>
      <c r="BA8" s="1386" t="s">
        <v>66</v>
      </c>
      <c r="BB8" s="1275"/>
      <c r="BC8" s="2624" t="s">
        <v>580</v>
      </c>
      <c r="BE8" s="437"/>
      <c r="BF8" s="437" t="str">
        <f t="shared" si="0"/>
        <v/>
      </c>
      <c r="BG8" s="437"/>
      <c r="BH8" s="437"/>
      <c r="BI8" s="1082">
        <v>0</v>
      </c>
    </row>
    <row r="9" spans="1:61" ht="11.25" hidden="1" customHeight="1">
      <c r="A9" s="1290"/>
      <c r="B9" s="1290"/>
      <c r="C9" s="1290"/>
      <c r="D9" s="1290"/>
      <c r="E9" s="2602"/>
      <c r="F9" s="2602"/>
      <c r="G9" s="2602"/>
      <c r="H9" s="2602"/>
      <c r="I9" s="2604"/>
      <c r="J9" s="2604"/>
      <c r="K9" s="2603"/>
      <c r="L9" s="1291"/>
      <c r="P9" s="2605"/>
      <c r="Q9" s="2605"/>
      <c r="R9" s="2661"/>
      <c r="S9" s="2659"/>
      <c r="T9" s="2679"/>
      <c r="U9" s="237"/>
      <c r="V9" s="1320"/>
      <c r="W9" s="1423"/>
      <c r="X9" s="1320"/>
      <c r="Y9" s="1423"/>
      <c r="Z9" s="1320"/>
      <c r="AA9" s="1320"/>
      <c r="AB9" s="1320"/>
      <c r="AC9" s="1320"/>
      <c r="AD9" s="2532"/>
      <c r="AE9" s="2654"/>
      <c r="AF9" s="2559"/>
      <c r="AG9" s="2677"/>
      <c r="AH9" s="2471"/>
      <c r="AI9" s="2654"/>
      <c r="AJ9" s="2559"/>
      <c r="AK9" s="2668"/>
      <c r="AL9" s="2471"/>
      <c r="AM9" s="2541"/>
      <c r="AN9" s="2559"/>
      <c r="AO9" s="2681"/>
      <c r="AP9" s="2683"/>
      <c r="AQ9" s="253"/>
      <c r="AR9" s="353"/>
      <c r="AS9" s="353" t="s">
        <v>581</v>
      </c>
      <c r="AT9" s="1320"/>
      <c r="AU9" s="1423"/>
      <c r="AV9" s="1320"/>
      <c r="AW9" s="1423"/>
      <c r="AX9" s="1320"/>
      <c r="AY9" s="1320"/>
      <c r="AZ9" s="1320"/>
      <c r="BA9" s="1320"/>
      <c r="BB9" s="1324"/>
      <c r="BC9" s="2625"/>
      <c r="BE9" s="437"/>
      <c r="BF9" s="437"/>
      <c r="BG9" s="437"/>
      <c r="BH9" s="437"/>
      <c r="BI9" s="1082">
        <v>0</v>
      </c>
    </row>
    <row r="10" spans="1:61" ht="11.25" hidden="1" customHeight="1">
      <c r="A10" s="1290"/>
      <c r="B10" s="1290"/>
      <c r="C10" s="1290"/>
      <c r="D10" s="1290"/>
      <c r="E10" s="2602"/>
      <c r="F10" s="2602"/>
      <c r="G10" s="2602"/>
      <c r="H10" s="2602"/>
      <c r="I10" s="2604"/>
      <c r="J10" s="2604"/>
      <c r="K10" s="2603"/>
      <c r="L10" s="1291"/>
      <c r="P10" s="2605"/>
      <c r="Q10" s="2605"/>
      <c r="R10" s="2661"/>
      <c r="S10" s="2659"/>
      <c r="T10" s="2679"/>
      <c r="U10" s="237"/>
      <c r="V10" s="1320"/>
      <c r="W10" s="1423"/>
      <c r="X10" s="1320"/>
      <c r="Y10" s="1423"/>
      <c r="Z10" s="1320"/>
      <c r="AA10" s="1320"/>
      <c r="AB10" s="1320"/>
      <c r="AC10" s="1320"/>
      <c r="AD10" s="2532"/>
      <c r="AE10" s="2654"/>
      <c r="AF10" s="2559"/>
      <c r="AG10" s="2677"/>
      <c r="AH10" s="2471"/>
      <c r="AI10" s="2654"/>
      <c r="AJ10" s="2559"/>
      <c r="AK10" s="2668"/>
      <c r="AL10" s="2471"/>
      <c r="AM10" s="253"/>
      <c r="AN10" s="1427"/>
      <c r="AO10" s="1427" t="s">
        <v>582</v>
      </c>
      <c r="AP10" s="353"/>
      <c r="AQ10" s="353"/>
      <c r="AR10" s="353"/>
      <c r="AS10" s="1320"/>
      <c r="AT10" s="1320"/>
      <c r="AU10" s="1423"/>
      <c r="AV10" s="1320"/>
      <c r="AW10" s="1423"/>
      <c r="AX10" s="1320"/>
      <c r="AY10" s="1320"/>
      <c r="AZ10" s="1320"/>
      <c r="BA10" s="1320"/>
      <c r="BB10" s="1324"/>
      <c r="BC10" s="2625"/>
      <c r="BE10" s="437"/>
      <c r="BF10" s="437"/>
      <c r="BG10" s="437"/>
      <c r="BH10" s="437"/>
      <c r="BI10" s="1082">
        <v>0</v>
      </c>
    </row>
    <row r="11" spans="1:61" ht="11.25" hidden="1" customHeight="1">
      <c r="A11" s="1290"/>
      <c r="B11" s="1290"/>
      <c r="C11" s="1290"/>
      <c r="D11" s="1290"/>
      <c r="E11" s="2602"/>
      <c r="F11" s="2602"/>
      <c r="G11" s="2602"/>
      <c r="H11" s="2602"/>
      <c r="I11" s="2604"/>
      <c r="J11" s="2604"/>
      <c r="K11" s="2603"/>
      <c r="L11" s="1291"/>
      <c r="P11" s="2605"/>
      <c r="Q11" s="2605"/>
      <c r="R11" s="2661"/>
      <c r="S11" s="2659"/>
      <c r="T11" s="2679"/>
      <c r="U11" s="237"/>
      <c r="V11" s="1320"/>
      <c r="W11" s="1423"/>
      <c r="X11" s="1320"/>
      <c r="Y11" s="1423"/>
      <c r="Z11" s="1320"/>
      <c r="AA11" s="1320"/>
      <c r="AB11" s="1320"/>
      <c r="AC11" s="1320"/>
      <c r="AD11" s="2532"/>
      <c r="AE11" s="2654"/>
      <c r="AF11" s="2559"/>
      <c r="AG11" s="2677"/>
      <c r="AH11" s="2471"/>
      <c r="AI11" s="231"/>
      <c r="AJ11" s="352"/>
      <c r="AK11" s="250" t="s">
        <v>583</v>
      </c>
      <c r="AL11" s="1320"/>
      <c r="AM11" s="1320"/>
      <c r="AN11" s="1320"/>
      <c r="AO11" s="1320"/>
      <c r="AP11" s="1320"/>
      <c r="AQ11" s="1320"/>
      <c r="AR11" s="1320"/>
      <c r="AS11" s="1320"/>
      <c r="AT11" s="1320"/>
      <c r="AU11" s="1423"/>
      <c r="AV11" s="1320"/>
      <c r="AW11" s="1423"/>
      <c r="AX11" s="1320"/>
      <c r="AY11" s="1320"/>
      <c r="AZ11" s="1320"/>
      <c r="BA11" s="1320"/>
      <c r="BB11" s="1324"/>
      <c r="BC11" s="2625"/>
      <c r="BE11" s="437"/>
      <c r="BF11" s="437"/>
      <c r="BG11" s="437"/>
      <c r="BH11" s="437"/>
      <c r="BI11" s="1082">
        <v>0</v>
      </c>
    </row>
    <row r="12" spans="1:61" ht="11.25" hidden="1" customHeight="1">
      <c r="A12" s="1290"/>
      <c r="B12" s="1290"/>
      <c r="C12" s="1290"/>
      <c r="D12" s="1290"/>
      <c r="E12" s="2602"/>
      <c r="F12" s="2602"/>
      <c r="G12" s="2602"/>
      <c r="H12" s="2602"/>
      <c r="I12" s="2604"/>
      <c r="J12" s="2604"/>
      <c r="K12" s="2603"/>
      <c r="L12" s="1291"/>
      <c r="P12" s="2605"/>
      <c r="Q12" s="2605"/>
      <c r="R12" s="2661"/>
      <c r="S12" s="2660"/>
      <c r="T12" s="2680"/>
      <c r="U12" s="237"/>
      <c r="V12" s="1320"/>
      <c r="W12" s="1321" t="str">
        <f>Z8&amp;"-"&amp;AB8</f>
        <v>-</v>
      </c>
      <c r="X12" s="1320"/>
      <c r="Y12" s="1321" t="str">
        <f>AB8&amp;"-"&amp;AD8</f>
        <v>-да</v>
      </c>
      <c r="Z12" s="1320"/>
      <c r="AA12" s="1320"/>
      <c r="AB12" s="1320"/>
      <c r="AC12" s="1320"/>
      <c r="AD12" s="2476"/>
      <c r="AE12" s="249"/>
      <c r="AF12" s="251"/>
      <c r="AG12" s="353" t="s">
        <v>584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25"/>
      <c r="BE12" s="437"/>
      <c r="BF12" s="437" t="str">
        <f t="shared" ref="BF12:BF18" si="1">IF(T12="","",T12)</f>
        <v/>
      </c>
      <c r="BG12" s="437"/>
      <c r="BH12" s="437"/>
      <c r="BI12" s="1082">
        <v>0</v>
      </c>
    </row>
    <row r="13" spans="1:61" ht="11.25" hidden="1" customHeight="1">
      <c r="A13" s="1290"/>
      <c r="B13" s="1290"/>
      <c r="C13" s="1290"/>
      <c r="D13" s="1290"/>
      <c r="E13" s="2602"/>
      <c r="F13" s="2602"/>
      <c r="G13" s="2602"/>
      <c r="H13" s="2602"/>
      <c r="I13" s="2604"/>
      <c r="J13" s="2603"/>
      <c r="K13" s="1290"/>
      <c r="L13" s="1291"/>
      <c r="P13" s="2605"/>
      <c r="Q13" s="2605"/>
      <c r="R13" s="293"/>
      <c r="S13" s="1205"/>
      <c r="T13" s="224" t="s">
        <v>545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26"/>
      <c r="BE13" s="437"/>
      <c r="BF13" s="437" t="str">
        <f t="shared" si="1"/>
        <v>Добавить строку</v>
      </c>
      <c r="BG13" s="437"/>
      <c r="BH13" s="437"/>
      <c r="BI13" s="1082">
        <v>0</v>
      </c>
    </row>
    <row r="14" spans="1:61" s="1569" customFormat="1" ht="14.25" hidden="1" customHeight="1">
      <c r="A14" s="1270"/>
      <c r="B14" s="1270"/>
      <c r="C14" s="1270"/>
      <c r="D14" s="1270"/>
      <c r="E14" s="2602"/>
      <c r="F14" s="2602"/>
      <c r="G14" s="2602"/>
      <c r="H14" s="2602"/>
      <c r="I14" s="2603"/>
      <c r="J14" s="1270"/>
      <c r="K14" s="1270"/>
      <c r="L14" s="1273"/>
      <c r="M14" s="447"/>
      <c r="N14" s="447"/>
      <c r="O14" s="447"/>
      <c r="P14" s="260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02"/>
      <c r="F15" s="2602"/>
      <c r="G15" s="2602"/>
      <c r="H15" s="260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02"/>
      <c r="F16" s="2602"/>
      <c r="G16" s="260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02"/>
      <c r="F17" s="2601"/>
      <c r="G17" s="1241"/>
      <c r="H17" s="1241"/>
      <c r="I17" s="1241"/>
      <c r="J17" s="1241"/>
      <c r="K17" s="1241"/>
      <c r="L17" s="1391"/>
      <c r="M17" s="1248"/>
      <c r="N17" s="1248"/>
      <c r="P17" s="1243"/>
      <c r="Q17" s="1244"/>
      <c r="R17" s="1243"/>
      <c r="S17" s="1249"/>
      <c r="T17" s="1252" t="s">
        <v>295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01"/>
      <c r="F18" s="1270"/>
      <c r="G18" s="1270"/>
      <c r="H18" s="1270"/>
      <c r="I18" s="1270"/>
      <c r="J18" s="1270"/>
      <c r="K18" s="1270"/>
      <c r="L18" s="1273"/>
      <c r="M18" s="1248"/>
      <c r="N18" s="1248"/>
      <c r="O18" s="455"/>
      <c r="P18" s="317"/>
      <c r="Q18" s="1271"/>
      <c r="R18" s="317"/>
      <c r="S18" s="1249"/>
      <c r="T18" s="1252" t="s">
        <v>299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66</v>
      </c>
      <c r="AZ20" s="1663"/>
      <c r="BA20" s="1387" t="s">
        <v>66</v>
      </c>
      <c r="BI20" s="1082">
        <v>0</v>
      </c>
    </row>
    <row r="21" spans="1:61" ht="14.25" hidden="1" customHeight="1">
      <c r="BD21" s="433"/>
      <c r="BE21" s="433"/>
      <c r="BF21" s="433"/>
      <c r="BG21" s="433"/>
      <c r="BH21" s="433"/>
      <c r="BI21" s="1082">
        <v>0</v>
      </c>
    </row>
    <row r="22" spans="1:61" ht="14.25" hidden="1" customHeight="1">
      <c r="O22" s="1294" t="s">
        <v>495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496</v>
      </c>
      <c r="P24" s="1435"/>
      <c r="Q24" s="1437"/>
      <c r="R24" s="1437"/>
      <c r="AA24" s="1434" t="s">
        <v>498</v>
      </c>
      <c r="AC24" s="1434" t="s">
        <v>499</v>
      </c>
      <c r="AD24" s="1434" t="s">
        <v>546</v>
      </c>
      <c r="AH24" s="1434" t="s">
        <v>546</v>
      </c>
      <c r="AK24" s="1434" t="s">
        <v>585</v>
      </c>
      <c r="AL24" s="1434" t="s">
        <v>546</v>
      </c>
      <c r="AP24" s="1434" t="s">
        <v>546</v>
      </c>
      <c r="AY24" s="1434" t="s">
        <v>498</v>
      </c>
      <c r="BA24" s="1434" t="s">
        <v>499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58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82"/>
      <c r="U28" s="2582"/>
      <c r="V28" s="2582"/>
      <c r="W28" s="2582"/>
      <c r="X28" s="2582"/>
      <c r="Y28" s="2582"/>
      <c r="Z28" s="2582"/>
      <c r="AA28" s="2582"/>
      <c r="AB28" s="2582"/>
      <c r="AC28" s="2582"/>
      <c r="AD28" s="2582"/>
      <c r="AE28" s="2582"/>
      <c r="AF28" s="2582"/>
      <c r="AG28" s="2582"/>
      <c r="AH28" s="2582"/>
      <c r="AI28" s="2582"/>
      <c r="AJ28" s="2582"/>
      <c r="AK28" s="2582"/>
      <c r="AL28" s="2582"/>
      <c r="AM28" s="2582"/>
      <c r="AN28" s="2582"/>
      <c r="AO28" s="2582"/>
      <c r="AP28" s="2582"/>
      <c r="AQ28" s="2582"/>
      <c r="AR28" s="2582"/>
      <c r="AS28" s="2582"/>
      <c r="AT28" s="2582"/>
      <c r="AU28" s="2582"/>
      <c r="AV28" s="2582"/>
      <c r="AW28" s="2582"/>
      <c r="AX28" s="2582"/>
      <c r="AY28" s="2582"/>
      <c r="AZ28" s="2582"/>
      <c r="BA28" s="1170"/>
      <c r="BI28" s="1082">
        <v>14</v>
      </c>
    </row>
    <row r="29" spans="1:61" ht="14.65" customHeight="1">
      <c r="Q29" s="228"/>
      <c r="R29" s="313"/>
      <c r="S29"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592" t="s">
        <v>42</v>
      </c>
      <c r="T31" s="2592"/>
      <c r="U31" s="1299"/>
      <c r="V31" s="2594" t="str">
        <f>IF(TITLE_NAME_OR_PR_CHANGE="",IF(TITLE_NAME_OR_PR="","",TITLE_NAME_OR_PR),TITLE_NAME_OR_PR_CHANGE)</f>
        <v>Региональная служба по тарифам Ростовской области</v>
      </c>
      <c r="W31" s="2594"/>
      <c r="X31" s="2594"/>
      <c r="Y31" s="2594"/>
      <c r="Z31" s="2594"/>
      <c r="AA31" s="2594"/>
      <c r="AB31" s="2594"/>
      <c r="AC31" s="263"/>
      <c r="AD31" s="2594" t="str">
        <f>IF(TITLE_NAME_OR_PR_CHANGE="",IF(TITLE_NAME_OR_PR="","",TITLE_NAME_OR_PR),TITLE_NAME_OR_PR_CHANGE)</f>
        <v>Региональная служба по тарифам Ростовской области</v>
      </c>
      <c r="AE31" s="2594"/>
      <c r="AF31" s="2594"/>
      <c r="AG31" s="2594"/>
      <c r="AH31" s="2594"/>
      <c r="AI31" s="2594"/>
      <c r="AJ31" s="2594"/>
      <c r="AK31" s="2594"/>
      <c r="AL31" s="2594"/>
      <c r="AM31" s="2594"/>
      <c r="AN31" s="2594"/>
      <c r="AO31" s="2594"/>
      <c r="AP31" s="2594"/>
      <c r="AQ31" s="2594"/>
      <c r="AR31" s="2594"/>
      <c r="AS31" s="2594"/>
      <c r="AT31" s="2594"/>
      <c r="AU31" s="2594"/>
      <c r="AV31" s="2594"/>
      <c r="AW31" s="2594"/>
      <c r="AX31" s="2594"/>
      <c r="AY31" s="2594"/>
      <c r="AZ31" s="2594"/>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592" t="s">
        <v>501</v>
      </c>
      <c r="T32" s="2592"/>
      <c r="U32" s="1299"/>
      <c r="V32" s="2593">
        <f>IF(TITLE_DATE_PR_CHANGE="",IF(TITLE_DATE_PR="","",TITLE_DATE_PR),TITLE_DATE_PR_CHANGE)</f>
        <v>45596.468541666669</v>
      </c>
      <c r="W32" s="2593"/>
      <c r="X32" s="2593"/>
      <c r="Y32" s="2593"/>
      <c r="Z32" s="2593"/>
      <c r="AA32" s="2593"/>
      <c r="AB32" s="2593"/>
      <c r="AC32" s="263"/>
      <c r="AD32" s="2593">
        <f>IF(TITLE_DATE_PR_CHANGE="",IF(TITLE_DATE_PR="","",TITLE_DATE_PR),TITLE_DATE_PR_CHANGE)</f>
        <v>45596.468541666669</v>
      </c>
      <c r="AE32" s="2593"/>
      <c r="AF32" s="2593"/>
      <c r="AG32" s="2593"/>
      <c r="AH32" s="2593"/>
      <c r="AI32" s="2593"/>
      <c r="AJ32" s="2593"/>
      <c r="AK32" s="2593"/>
      <c r="AL32" s="2593"/>
      <c r="AM32" s="2593"/>
      <c r="AN32" s="2593"/>
      <c r="AO32" s="2593"/>
      <c r="AP32" s="2593"/>
      <c r="AQ32" s="2593"/>
      <c r="AR32" s="2593"/>
      <c r="AS32" s="2593"/>
      <c r="AT32" s="2593"/>
      <c r="AU32" s="2593"/>
      <c r="AV32" s="2593"/>
      <c r="AW32" s="2593"/>
      <c r="AX32" s="2593"/>
      <c r="AY32" s="2593"/>
      <c r="AZ32" s="2593"/>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592" t="s">
        <v>502</v>
      </c>
      <c r="T33" s="2592"/>
      <c r="U33" s="1299"/>
      <c r="V33" s="2594" t="str">
        <f>IF(TITLE_NUMBER_PR_CHANGE="",IF(TITLE_NUMBER_PR="","",TITLE_NUMBER_PR),TITLE_NUMBER_PR_CHANGE)</f>
        <v>440,503</v>
      </c>
      <c r="W33" s="2594"/>
      <c r="X33" s="2594"/>
      <c r="Y33" s="2594"/>
      <c r="Z33" s="2594"/>
      <c r="AA33" s="2594"/>
      <c r="AB33" s="2594"/>
      <c r="AC33" s="263"/>
      <c r="AD33" s="2594" t="str">
        <f>IF(TITLE_NUMBER_PR_CHANGE="",IF(TITLE_NUMBER_PR="","",TITLE_NUMBER_PR),TITLE_NUMBER_PR_CHANGE)</f>
        <v>440,503</v>
      </c>
      <c r="AE33" s="2594"/>
      <c r="AF33" s="2594"/>
      <c r="AG33" s="2594"/>
      <c r="AH33" s="2594"/>
      <c r="AI33" s="2594"/>
      <c r="AJ33" s="2594"/>
      <c r="AK33" s="2594"/>
      <c r="AL33" s="2594"/>
      <c r="AM33" s="2594"/>
      <c r="AN33" s="2594"/>
      <c r="AO33" s="2594"/>
      <c r="AP33" s="2594"/>
      <c r="AQ33" s="2594"/>
      <c r="AR33" s="2594"/>
      <c r="AS33" s="2594"/>
      <c r="AT33" s="2594"/>
      <c r="AU33" s="2594"/>
      <c r="AV33" s="2594"/>
      <c r="AW33" s="2594"/>
      <c r="AX33" s="2594"/>
      <c r="AY33" s="2594"/>
      <c r="AZ33" s="2594"/>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592" t="s">
        <v>44</v>
      </c>
      <c r="T34" s="2592"/>
      <c r="U34" s="1299"/>
      <c r="V34" s="2594" t="str">
        <f>IF(TITLE_IST_PUB_CHANGE="",IF(TITLE_IST_PUB="","",TITLE_IST_PUB),TITLE_IST_PUB_CHANGE)</f>
        <v>Региональная служба по тарифам Ростовской области</v>
      </c>
      <c r="W34" s="2594"/>
      <c r="X34" s="2594"/>
      <c r="Y34" s="2594"/>
      <c r="Z34" s="2594"/>
      <c r="AA34" s="2594"/>
      <c r="AB34" s="2594"/>
      <c r="AC34" s="263"/>
      <c r="AD34" s="2594" t="str">
        <f>IF(TITLE_IST_PUB_CHANGE="",IF(TITLE_IST_PUB="","",TITLE_IST_PUB),TITLE_IST_PUB_CHANGE)</f>
        <v>Региональная служба по тарифам Ростовской области</v>
      </c>
      <c r="AE34" s="2594"/>
      <c r="AF34" s="2594"/>
      <c r="AG34" s="2594"/>
      <c r="AH34" s="2594"/>
      <c r="AI34" s="2594"/>
      <c r="AJ34" s="2594"/>
      <c r="AK34" s="2594"/>
      <c r="AL34" s="2594"/>
      <c r="AM34" s="2594"/>
      <c r="AN34" s="2594"/>
      <c r="AO34" s="2594"/>
      <c r="AP34" s="2594"/>
      <c r="AQ34" s="2594"/>
      <c r="AR34" s="2594"/>
      <c r="AS34" s="2594"/>
      <c r="AT34" s="2594"/>
      <c r="AU34" s="2594"/>
      <c r="AV34" s="2594"/>
      <c r="AW34" s="2594"/>
      <c r="AX34" s="2594"/>
      <c r="AY34" s="2594"/>
      <c r="AZ34" s="259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592" t="s">
        <v>501</v>
      </c>
      <c r="T36" s="2592"/>
      <c r="U36" s="1299"/>
      <c r="V36" s="2593">
        <f>IF(TITLE_DATE_PR_CHANGE="",IF(TITLE_DATE_PR="","",TITLE_DATE_PR),TITLE_DATE_PR_CHANGE)</f>
        <v>45596.468541666669</v>
      </c>
      <c r="W36" s="2593"/>
      <c r="X36" s="2593"/>
      <c r="Y36" s="2593"/>
      <c r="Z36" s="2593"/>
      <c r="AA36" s="2593"/>
      <c r="AB36" s="2593"/>
      <c r="AC36" s="263"/>
      <c r="AD36" s="2593">
        <f>IF(TITLE_DATE_PR_CHANGE="",IF(TITLE_DATE_PR="","",TITLE_DATE_PR),TITLE_DATE_PR_CHANGE)</f>
        <v>45596.468541666669</v>
      </c>
      <c r="AE36" s="2593"/>
      <c r="AF36" s="2593"/>
      <c r="AG36" s="2593"/>
      <c r="AH36" s="2593"/>
      <c r="AI36" s="2593"/>
      <c r="AJ36" s="2593"/>
      <c r="AK36" s="2593"/>
      <c r="AL36" s="2593"/>
      <c r="AM36" s="2593"/>
      <c r="AN36" s="2593"/>
      <c r="AO36" s="2593"/>
      <c r="AP36" s="2593"/>
      <c r="AQ36" s="2593"/>
      <c r="AR36" s="2593"/>
      <c r="AS36" s="2593"/>
      <c r="AT36" s="2593"/>
      <c r="AU36" s="2593"/>
      <c r="AV36" s="2593"/>
      <c r="AW36" s="2593"/>
      <c r="AX36" s="2593"/>
      <c r="AY36" s="2593"/>
      <c r="AZ36" s="259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592" t="s">
        <v>502</v>
      </c>
      <c r="T37" s="2592"/>
      <c r="U37" s="1299"/>
      <c r="V37" s="2594" t="str">
        <f>IF(TITLE_NUMBER_PR_CHANGE="",IF(TITLE_NUMBER_PR="","",TITLE_NUMBER_PR),TITLE_NUMBER_PR_CHANGE)</f>
        <v>440,503</v>
      </c>
      <c r="W37" s="2594"/>
      <c r="X37" s="2594"/>
      <c r="Y37" s="2594"/>
      <c r="Z37" s="2594"/>
      <c r="AA37" s="2594"/>
      <c r="AB37" s="2594"/>
      <c r="AC37" s="263"/>
      <c r="AD37" s="2594" t="str">
        <f>IF(TITLE_NUMBER_PR_CHANGE="",IF(TITLE_NUMBER_PR="","",TITLE_NUMBER_PR),TITLE_NUMBER_PR_CHANGE)</f>
        <v>440,503</v>
      </c>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259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505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505</v>
      </c>
      <c r="BD38" s="305"/>
      <c r="BE38" s="305"/>
      <c r="BF38" s="305"/>
      <c r="BG38" s="305"/>
      <c r="BH38" s="305"/>
      <c r="BI38" s="355">
        <v>0</v>
      </c>
    </row>
    <row r="39" spans="1:61" ht="14.65" customHeight="1">
      <c r="Q39" s="228"/>
      <c r="R39" s="313"/>
      <c r="S39" s="1202"/>
      <c r="T39" s="300"/>
      <c r="U39" s="1171"/>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c r="BA39" s="2613"/>
      <c r="BI39" s="1082">
        <v>14</v>
      </c>
    </row>
    <row r="40" spans="1:61" ht="14.65" customHeight="1">
      <c r="Q40" s="228"/>
      <c r="R40" s="313"/>
      <c r="S40" s="2461" t="s">
        <v>380</v>
      </c>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c r="AS40" s="2461"/>
      <c r="AT40" s="2461"/>
      <c r="AU40" s="2461"/>
      <c r="AV40" s="2461"/>
      <c r="AW40" s="2461"/>
      <c r="AX40" s="2461"/>
      <c r="AY40" s="2461"/>
      <c r="AZ40" s="2461"/>
      <c r="BA40" s="2461"/>
      <c r="BB40" s="2461"/>
      <c r="BC40" s="2461" t="s">
        <v>381</v>
      </c>
      <c r="BI40" s="1082">
        <v>14</v>
      </c>
    </row>
    <row r="41" spans="1:61" ht="14.65" customHeight="1">
      <c r="Q41" s="228"/>
      <c r="R41" s="313"/>
      <c r="S41" s="2614" t="s">
        <v>88</v>
      </c>
      <c r="T41" s="2563" t="s">
        <v>586</v>
      </c>
      <c r="U41" s="238"/>
      <c r="V41" s="2615" t="s">
        <v>507</v>
      </c>
      <c r="W41" s="2616"/>
      <c r="X41" s="2616"/>
      <c r="Y41" s="2616"/>
      <c r="Z41" s="2616"/>
      <c r="AA41" s="2616"/>
      <c r="AB41" s="2617"/>
      <c r="AC41" s="2618" t="s">
        <v>508</v>
      </c>
      <c r="AD41" s="2647" t="s">
        <v>587</v>
      </c>
      <c r="AE41" s="2631"/>
      <c r="AF41" s="2631"/>
      <c r="AG41" s="2648"/>
      <c r="AH41" s="2647" t="s">
        <v>588</v>
      </c>
      <c r="AI41" s="2631"/>
      <c r="AJ41" s="2631"/>
      <c r="AK41" s="2648"/>
      <c r="AL41" s="2647" t="s">
        <v>589</v>
      </c>
      <c r="AM41" s="2631"/>
      <c r="AN41" s="2631"/>
      <c r="AO41" s="2648"/>
      <c r="AP41" s="2647" t="s">
        <v>590</v>
      </c>
      <c r="AQ41" s="2631"/>
      <c r="AR41" s="2631"/>
      <c r="AS41" s="2648"/>
      <c r="AT41" s="2615" t="s">
        <v>507</v>
      </c>
      <c r="AU41" s="2616"/>
      <c r="AV41" s="2616"/>
      <c r="AW41" s="2616"/>
      <c r="AX41" s="2616"/>
      <c r="AY41" s="2616"/>
      <c r="AZ41" s="2617"/>
      <c r="BA41" s="2618" t="s">
        <v>508</v>
      </c>
      <c r="BB41" s="2621" t="s">
        <v>510</v>
      </c>
      <c r="BC41" s="2461"/>
      <c r="BI41" s="1082">
        <v>14</v>
      </c>
    </row>
    <row r="42" spans="1:61" ht="35.65" customHeight="1">
      <c r="Q42" s="228"/>
      <c r="R42" s="313"/>
      <c r="S42" s="2614"/>
      <c r="T42" s="2563"/>
      <c r="U42" s="961"/>
      <c r="V42" s="2536" t="s">
        <v>591</v>
      </c>
      <c r="W42" s="2537"/>
      <c r="X42" s="2536" t="s">
        <v>592</v>
      </c>
      <c r="Y42" s="2537"/>
      <c r="Z42" s="2536" t="s">
        <v>593</v>
      </c>
      <c r="AA42" s="2643"/>
      <c r="AB42" s="2537"/>
      <c r="AC42" s="2619"/>
      <c r="AD42" s="2649"/>
      <c r="AE42" s="2650"/>
      <c r="AF42" s="2650"/>
      <c r="AG42" s="2662"/>
      <c r="AH42" s="2649"/>
      <c r="AI42" s="2650"/>
      <c r="AJ42" s="2650"/>
      <c r="AK42" s="2662"/>
      <c r="AL42" s="2649"/>
      <c r="AM42" s="2650"/>
      <c r="AN42" s="2650"/>
      <c r="AO42" s="2662"/>
      <c r="AP42" s="2649"/>
      <c r="AQ42" s="2650"/>
      <c r="AR42" s="2650"/>
      <c r="AS42" s="2662"/>
      <c r="AT42" s="2536" t="s">
        <v>591</v>
      </c>
      <c r="AU42" s="2537"/>
      <c r="AV42" s="2536" t="s">
        <v>592</v>
      </c>
      <c r="AW42" s="2537"/>
      <c r="AX42" s="2536" t="s">
        <v>593</v>
      </c>
      <c r="AY42" s="2643"/>
      <c r="AZ42" s="2537"/>
      <c r="BA42" s="2619"/>
      <c r="BB42" s="2622"/>
      <c r="BC42" s="2461"/>
      <c r="BI42" s="1082">
        <v>34</v>
      </c>
    </row>
    <row r="43" spans="1:61" ht="14.65" customHeight="1">
      <c r="Q43" s="228"/>
      <c r="R43" s="313"/>
      <c r="S43" s="2614"/>
      <c r="T43" s="2563"/>
      <c r="U43" s="961"/>
      <c r="V43" s="2541"/>
      <c r="W43" s="2542"/>
      <c r="X43" s="2541"/>
      <c r="Y43" s="2542"/>
      <c r="Z43" s="2541"/>
      <c r="AA43" s="2644"/>
      <c r="AB43" s="2542"/>
      <c r="AC43" s="2619"/>
      <c r="AD43" s="2649"/>
      <c r="AE43" s="2650"/>
      <c r="AF43" s="2650"/>
      <c r="AG43" s="2662"/>
      <c r="AH43" s="2649"/>
      <c r="AI43" s="2650"/>
      <c r="AJ43" s="2650"/>
      <c r="AK43" s="2662"/>
      <c r="AL43" s="2649"/>
      <c r="AM43" s="2650"/>
      <c r="AN43" s="2650"/>
      <c r="AO43" s="2662"/>
      <c r="AP43" s="2649"/>
      <c r="AQ43" s="2650"/>
      <c r="AR43" s="2650"/>
      <c r="AS43" s="2662"/>
      <c r="AT43" s="2541"/>
      <c r="AU43" s="2542"/>
      <c r="AV43" s="2541"/>
      <c r="AW43" s="2542"/>
      <c r="AX43" s="2541"/>
      <c r="AY43" s="2644"/>
      <c r="AZ43" s="2542"/>
      <c r="BA43" s="2619"/>
      <c r="BB43" s="2622"/>
      <c r="BC43" s="2461"/>
      <c r="BI43" s="1082">
        <v>14</v>
      </c>
    </row>
    <row r="44" spans="1:61" ht="14.65" customHeight="1">
      <c r="A44" s="1297"/>
      <c r="B44" s="1297" t="s">
        <v>201</v>
      </c>
      <c r="C44" s="1297" t="s">
        <v>202</v>
      </c>
      <c r="D44" s="1297" t="s">
        <v>203</v>
      </c>
      <c r="E44" s="1291" t="s">
        <v>515</v>
      </c>
      <c r="F44" s="1291" t="s">
        <v>516</v>
      </c>
      <c r="G44" s="1291" t="s">
        <v>517</v>
      </c>
      <c r="H44" s="1291" t="s">
        <v>518</v>
      </c>
      <c r="I44" s="1291" t="s">
        <v>519</v>
      </c>
      <c r="J44" s="1291" t="s">
        <v>520</v>
      </c>
      <c r="K44" s="1291" t="s">
        <v>521</v>
      </c>
      <c r="L44" s="1291" t="s">
        <v>496</v>
      </c>
      <c r="Q44" s="228"/>
      <c r="R44" s="313"/>
      <c r="S44" s="2614"/>
      <c r="T44" s="2563"/>
      <c r="U44" s="239"/>
      <c r="V44" s="1375" t="s">
        <v>555</v>
      </c>
      <c r="W44" s="1375" t="s">
        <v>556</v>
      </c>
      <c r="X44" s="1375" t="s">
        <v>555</v>
      </c>
      <c r="Y44" s="1375" t="s">
        <v>556</v>
      </c>
      <c r="Z44" s="1382" t="s">
        <v>524</v>
      </c>
      <c r="AA44" s="2568" t="s">
        <v>525</v>
      </c>
      <c r="AB44" s="2581"/>
      <c r="AC44" s="2620"/>
      <c r="AD44" s="2651"/>
      <c r="AE44" s="2652"/>
      <c r="AF44" s="2652"/>
      <c r="AG44" s="2653"/>
      <c r="AH44" s="2651"/>
      <c r="AI44" s="2652"/>
      <c r="AJ44" s="2652"/>
      <c r="AK44" s="2653"/>
      <c r="AL44" s="2651"/>
      <c r="AM44" s="2652"/>
      <c r="AN44" s="2652"/>
      <c r="AO44" s="2653"/>
      <c r="AP44" s="2651"/>
      <c r="AQ44" s="2652"/>
      <c r="AR44" s="2652"/>
      <c r="AS44" s="2653"/>
      <c r="AT44" s="1375" t="s">
        <v>555</v>
      </c>
      <c r="AU44" s="1375" t="s">
        <v>556</v>
      </c>
      <c r="AV44" s="1375" t="s">
        <v>555</v>
      </c>
      <c r="AW44" s="1375" t="s">
        <v>556</v>
      </c>
      <c r="AX44" s="1382" t="s">
        <v>524</v>
      </c>
      <c r="AY44" s="2568" t="s">
        <v>525</v>
      </c>
      <c r="AZ44" s="2581"/>
      <c r="BA44" s="2620"/>
      <c r="BB44" s="2623"/>
      <c r="BC44" s="246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177</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612">
        <f t="shared" ca="1" si="2"/>
        <v>8</v>
      </c>
      <c r="AB45" s="261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612">
        <f ca="1">OFFSET(AY45,0,-1)+1</f>
        <v>3</v>
      </c>
      <c r="AZ45" s="2612"/>
      <c r="BA45" s="1378">
        <f ca="1">OFFSET(BA45,0,-2)+1</f>
        <v>4</v>
      </c>
      <c r="BB45" s="1172">
        <f ca="1">OFFSET(BB45,0,-1)</f>
        <v>4</v>
      </c>
      <c r="BC45" s="1378">
        <f ca="1">OFFSET(BC45,0,-1)+1</f>
        <v>5</v>
      </c>
      <c r="BD45" s="448"/>
      <c r="BE45" s="448"/>
      <c r="BF45" s="448"/>
      <c r="BG45" s="448"/>
      <c r="BH45" s="448"/>
      <c r="BI45" s="433">
        <v>0</v>
      </c>
    </row>
    <row r="46" spans="1:61" ht="21.95" customHeight="1">
      <c r="A46" s="1290" t="s">
        <v>326</v>
      </c>
      <c r="B46" s="1290"/>
      <c r="C46" s="1290"/>
      <c r="D46" s="1290"/>
      <c r="E46" s="260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189</v>
      </c>
      <c r="U46" s="237"/>
      <c r="V46" s="2596"/>
      <c r="W46" s="2596"/>
      <c r="X46" s="2596"/>
      <c r="Y46" s="2596"/>
      <c r="Z46" s="2596"/>
      <c r="AA46" s="2596"/>
      <c r="AB46" s="2596"/>
      <c r="AC46" s="2597"/>
      <c r="AD46" s="2595" t="str">
        <f>INDEX(PT_DIFFERENTIATION_NTAR,MATCH(A46,PT_DIFFERENTIATION_NTAR_ID,0))</f>
        <v/>
      </c>
      <c r="AE46" s="2596"/>
      <c r="AF46" s="2596"/>
      <c r="AG46" s="2596"/>
      <c r="AH46" s="2596"/>
      <c r="AI46" s="2596"/>
      <c r="AJ46" s="2596"/>
      <c r="AK46" s="2596"/>
      <c r="AL46" s="2596"/>
      <c r="AM46" s="2596"/>
      <c r="AN46" s="2596"/>
      <c r="AO46" s="2596"/>
      <c r="AP46" s="2596"/>
      <c r="AQ46" s="2596"/>
      <c r="AR46" s="2596"/>
      <c r="AS46" s="2596"/>
      <c r="AT46" s="2596"/>
      <c r="AU46" s="2596"/>
      <c r="AV46" s="2596"/>
      <c r="AW46" s="2596"/>
      <c r="AX46" s="2596"/>
      <c r="AY46" s="2596"/>
      <c r="AZ46" s="2596"/>
      <c r="BA46" s="2596"/>
      <c r="BB46" s="259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326</v>
      </c>
      <c r="B47" s="1290" t="s">
        <v>327</v>
      </c>
      <c r="C47" s="1290"/>
      <c r="D47" s="1290"/>
      <c r="E47" s="2602"/>
      <c r="F47" s="2601">
        <v>1</v>
      </c>
      <c r="G47" s="1290"/>
      <c r="H47" s="1290"/>
      <c r="I47" s="1290"/>
      <c r="J47" s="1290"/>
      <c r="K47" s="1290"/>
      <c r="L47" s="1291"/>
      <c r="M47" s="1292"/>
      <c r="N47" s="1292"/>
      <c r="O47" s="1292"/>
      <c r="P47" s="1337"/>
      <c r="Q47" s="1338"/>
      <c r="R47" s="290"/>
      <c r="S47" s="1384" t="str">
        <f>INDEX(PT_DIFFERENTIATION_NUM_TER,MATCH(B47,PT_DIFFERENTIATION_TER_ID,0))</f>
        <v>.</v>
      </c>
      <c r="T47" s="245" t="s">
        <v>477</v>
      </c>
      <c r="U47" s="237"/>
      <c r="V47" s="2596"/>
      <c r="W47" s="2596"/>
      <c r="X47" s="2596"/>
      <c r="Y47" s="2596"/>
      <c r="Z47" s="2596"/>
      <c r="AA47" s="2596"/>
      <c r="AB47" s="2596"/>
      <c r="AC47" s="2597"/>
      <c r="AD47" s="2595" t="str">
        <f>INDEX(PT_DIFFERENTIATION_TER,MATCH(B47,PT_DIFFERENTIATION_TER_ID,0))</f>
        <v/>
      </c>
      <c r="AE47" s="2596"/>
      <c r="AF47" s="2596"/>
      <c r="AG47" s="2596"/>
      <c r="AH47" s="2596"/>
      <c r="AI47" s="2596"/>
      <c r="AJ47" s="2596"/>
      <c r="AK47" s="2596"/>
      <c r="AL47" s="2596"/>
      <c r="AM47" s="2596"/>
      <c r="AN47" s="2596"/>
      <c r="AO47" s="2596"/>
      <c r="AP47" s="2596"/>
      <c r="AQ47" s="2596"/>
      <c r="AR47" s="2596"/>
      <c r="AS47" s="2596"/>
      <c r="AT47" s="2596"/>
      <c r="AU47" s="2596"/>
      <c r="AV47" s="2596"/>
      <c r="AW47" s="2596"/>
      <c r="AX47" s="2596"/>
      <c r="AY47" s="2596"/>
      <c r="AZ47" s="2596"/>
      <c r="BA47" s="2596"/>
      <c r="BB47" s="2597"/>
      <c r="BC47" s="1185" t="s">
        <v>478</v>
      </c>
      <c r="BE47" s="437"/>
      <c r="BF47" s="437" t="str">
        <f t="shared" si="3"/>
        <v>Территория действия тарифа</v>
      </c>
      <c r="BG47" s="437"/>
      <c r="BH47" s="437"/>
      <c r="BI47" s="1082">
        <v>21</v>
      </c>
    </row>
    <row r="48" spans="1:61" ht="43.15" customHeight="1">
      <c r="A48" s="1290" t="s">
        <v>326</v>
      </c>
      <c r="B48" s="1290" t="s">
        <v>327</v>
      </c>
      <c r="C48" s="1290" t="s">
        <v>328</v>
      </c>
      <c r="D48" s="1290"/>
      <c r="E48" s="2602"/>
      <c r="F48" s="2602"/>
      <c r="G48" s="2601">
        <v>1</v>
      </c>
      <c r="H48" s="1290"/>
      <c r="I48" s="1290"/>
      <c r="J48" s="1290"/>
      <c r="K48" s="1290"/>
      <c r="L48" s="1291"/>
      <c r="M48" s="1292"/>
      <c r="N48" s="1292"/>
      <c r="O48" s="1292"/>
      <c r="P48" s="1339"/>
      <c r="Q48" s="1338"/>
      <c r="R48" s="290"/>
      <c r="S48" s="1384" t="str">
        <f>INDEX(PT_DIFFERENTIATION_NUM_CS,MATCH(C48,PT_DIFFERENTIATION_CS_ID,0))</f>
        <v>..</v>
      </c>
      <c r="T48" s="246" t="s">
        <v>558</v>
      </c>
      <c r="U48" s="237"/>
      <c r="V48" s="2596"/>
      <c r="W48" s="2596"/>
      <c r="X48" s="2596"/>
      <c r="Y48" s="2596"/>
      <c r="Z48" s="2596"/>
      <c r="AA48" s="2596"/>
      <c r="AB48" s="2596"/>
      <c r="AC48" s="2597"/>
      <c r="AD48" s="2595" t="str">
        <f>INDEX(PT_DIFFERENTIATION_CS,MATCH(C48,PT_DIFFERENTIATION_CS_ID,0))</f>
        <v/>
      </c>
      <c r="AE48" s="2596"/>
      <c r="AF48" s="2596"/>
      <c r="AG48" s="2596"/>
      <c r="AH48" s="2596"/>
      <c r="AI48" s="2596"/>
      <c r="AJ48" s="2596"/>
      <c r="AK48" s="2596"/>
      <c r="AL48" s="2596"/>
      <c r="AM48" s="2596"/>
      <c r="AN48" s="2596"/>
      <c r="AO48" s="2596"/>
      <c r="AP48" s="2596"/>
      <c r="AQ48" s="2596"/>
      <c r="AR48" s="2596"/>
      <c r="AS48" s="2596"/>
      <c r="AT48" s="2596"/>
      <c r="AU48" s="2596"/>
      <c r="AV48" s="2596"/>
      <c r="AW48" s="2596"/>
      <c r="AX48" s="2596"/>
      <c r="AY48" s="2596"/>
      <c r="AZ48" s="2596"/>
      <c r="BA48" s="2596"/>
      <c r="BB48" s="2597"/>
      <c r="BC48" s="1185" t="s">
        <v>559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326</v>
      </c>
      <c r="B49" s="1270" t="s">
        <v>327</v>
      </c>
      <c r="C49" s="1270" t="s">
        <v>328</v>
      </c>
      <c r="D49" s="1270" t="s">
        <v>594</v>
      </c>
      <c r="E49" s="2602"/>
      <c r="F49" s="2602"/>
      <c r="G49" s="2602"/>
      <c r="H49" s="2601">
        <v>1</v>
      </c>
      <c r="I49" s="1270"/>
      <c r="J49" s="1270"/>
      <c r="K49" s="1270"/>
      <c r="L49" s="1273"/>
      <c r="M49" s="1242"/>
      <c r="N49" s="1242"/>
      <c r="O49" s="1242"/>
      <c r="P49" s="1424"/>
      <c r="Q49" s="1425"/>
      <c r="R49" s="294"/>
      <c r="S49" s="972"/>
      <c r="T49" s="1426"/>
      <c r="U49" s="1311"/>
      <c r="V49" s="2633"/>
      <c r="W49" s="2633"/>
      <c r="X49" s="2633"/>
      <c r="Y49" s="2633"/>
      <c r="Z49" s="2633"/>
      <c r="AA49" s="2633"/>
      <c r="AB49" s="2633"/>
      <c r="AC49" s="2634"/>
      <c r="AD49" s="2632"/>
      <c r="AE49" s="2633"/>
      <c r="AF49" s="2633"/>
      <c r="AG49" s="2633"/>
      <c r="AH49" s="2633"/>
      <c r="AI49" s="2633"/>
      <c r="AJ49" s="2633"/>
      <c r="AK49" s="2633"/>
      <c r="AL49" s="2633"/>
      <c r="AM49" s="2633"/>
      <c r="AN49" s="2633"/>
      <c r="AO49" s="2633"/>
      <c r="AP49" s="2633"/>
      <c r="AQ49" s="2633"/>
      <c r="AR49" s="2633"/>
      <c r="AS49" s="2633"/>
      <c r="AT49" s="2633"/>
      <c r="AU49" s="2633"/>
      <c r="AV49" s="2633"/>
      <c r="AW49" s="2633"/>
      <c r="AX49" s="2633"/>
      <c r="AY49" s="2633"/>
      <c r="AZ49" s="2633"/>
      <c r="BA49" s="2633"/>
      <c r="BB49" s="2634"/>
      <c r="BC49" s="1312" t="s">
        <v>482</v>
      </c>
      <c r="BE49" s="437"/>
      <c r="BF49" s="437" t="str">
        <f t="shared" si="3"/>
        <v/>
      </c>
      <c r="BG49" s="437"/>
      <c r="BH49" s="437"/>
      <c r="BI49" s="448">
        <v>0</v>
      </c>
    </row>
    <row r="50" spans="1:61" s="1569" customFormat="1" ht="0" hidden="1" customHeight="1">
      <c r="A50" s="1270" t="s">
        <v>326</v>
      </c>
      <c r="B50" s="1270" t="s">
        <v>327</v>
      </c>
      <c r="C50" s="1270" t="s">
        <v>328</v>
      </c>
      <c r="D50" s="1270" t="s">
        <v>594</v>
      </c>
      <c r="E50" s="2602"/>
      <c r="F50" s="2602"/>
      <c r="G50" s="2602"/>
      <c r="H50" s="2602"/>
      <c r="I50" s="2603" t="str">
        <f>S49&amp;".1"</f>
        <v>.1</v>
      </c>
      <c r="J50" s="1270"/>
      <c r="K50" s="1270"/>
      <c r="L50" s="1273" t="s">
        <v>483</v>
      </c>
      <c r="M50" s="447"/>
      <c r="N50" s="447"/>
      <c r="O50" s="447"/>
      <c r="P50" s="2605">
        <v>1</v>
      </c>
      <c r="Q50" s="1389"/>
      <c r="R50" s="293"/>
      <c r="S50" s="972"/>
      <c r="T50" s="1310"/>
      <c r="U50" s="1311"/>
      <c r="V50" s="2633"/>
      <c r="W50" s="2633"/>
      <c r="X50" s="2633"/>
      <c r="Y50" s="2633"/>
      <c r="Z50" s="2633"/>
      <c r="AA50" s="2633"/>
      <c r="AB50" s="2633"/>
      <c r="AC50" s="2634"/>
      <c r="AD50" s="2632"/>
      <c r="AE50" s="2633"/>
      <c r="AF50" s="2633"/>
      <c r="AG50" s="2633"/>
      <c r="AH50" s="2633"/>
      <c r="AI50" s="2633"/>
      <c r="AJ50" s="2633"/>
      <c r="AK50" s="2633"/>
      <c r="AL50" s="2633"/>
      <c r="AM50" s="2633"/>
      <c r="AN50" s="2633"/>
      <c r="AO50" s="2633"/>
      <c r="AP50" s="2633"/>
      <c r="AQ50" s="2633"/>
      <c r="AR50" s="2633"/>
      <c r="AS50" s="2633"/>
      <c r="AT50" s="2633"/>
      <c r="AU50" s="2633"/>
      <c r="AV50" s="2633"/>
      <c r="AW50" s="2633"/>
      <c r="AX50" s="2633"/>
      <c r="AY50" s="2633"/>
      <c r="AZ50" s="2633"/>
      <c r="BA50" s="2633"/>
      <c r="BB50" s="2634"/>
      <c r="BC50" s="1312"/>
      <c r="BE50" s="437"/>
      <c r="BF50" s="437" t="str">
        <f t="shared" si="3"/>
        <v/>
      </c>
      <c r="BG50" s="437"/>
      <c r="BH50" s="437"/>
      <c r="BI50" s="448">
        <v>0</v>
      </c>
    </row>
    <row r="51" spans="1:61" s="1569" customFormat="1" ht="0" hidden="1" customHeight="1">
      <c r="A51" s="1270" t="s">
        <v>326</v>
      </c>
      <c r="B51" s="1270" t="s">
        <v>327</v>
      </c>
      <c r="C51" s="1270" t="s">
        <v>328</v>
      </c>
      <c r="D51" s="1270" t="s">
        <v>594</v>
      </c>
      <c r="E51" s="2602"/>
      <c r="F51" s="2602"/>
      <c r="G51" s="2602"/>
      <c r="H51" s="2602"/>
      <c r="I51" s="2604"/>
      <c r="J51" s="2603" t="str">
        <f>S49&amp;".1"</f>
        <v>.1</v>
      </c>
      <c r="K51" s="1270"/>
      <c r="L51" s="1273"/>
      <c r="M51" s="447"/>
      <c r="N51" s="447"/>
      <c r="O51" s="447"/>
      <c r="P51" s="2605"/>
      <c r="Q51" s="2605">
        <v>1</v>
      </c>
      <c r="R51" s="294"/>
      <c r="S51" s="972"/>
      <c r="T51" s="1326"/>
      <c r="U51" s="1311"/>
      <c r="V51" s="2633"/>
      <c r="W51" s="2633"/>
      <c r="X51" s="2633"/>
      <c r="Y51" s="2633"/>
      <c r="Z51" s="2633"/>
      <c r="AA51" s="2633"/>
      <c r="AB51" s="2633"/>
      <c r="AC51" s="2634"/>
      <c r="AD51" s="2632"/>
      <c r="AE51" s="2633"/>
      <c r="AF51" s="2633"/>
      <c r="AG51" s="2633"/>
      <c r="AH51" s="2633"/>
      <c r="AI51" s="2633"/>
      <c r="AJ51" s="2633"/>
      <c r="AK51" s="2633"/>
      <c r="AL51" s="2633"/>
      <c r="AM51" s="2633"/>
      <c r="AN51" s="2684"/>
      <c r="AO51" s="2684"/>
      <c r="AP51" s="2633"/>
      <c r="AQ51" s="2633"/>
      <c r="AR51" s="2633"/>
      <c r="AS51" s="2633"/>
      <c r="AT51" s="2633"/>
      <c r="AU51" s="2633"/>
      <c r="AV51" s="2633"/>
      <c r="AW51" s="2633"/>
      <c r="AX51" s="2633"/>
      <c r="AY51" s="2633"/>
      <c r="AZ51" s="2633"/>
      <c r="BA51" s="2633"/>
      <c r="BB51" s="2634"/>
      <c r="BC51" s="1312"/>
      <c r="BE51" s="437"/>
      <c r="BF51" s="437" t="str">
        <f t="shared" si="3"/>
        <v/>
      </c>
      <c r="BG51" s="437"/>
      <c r="BH51" s="437"/>
      <c r="BI51" s="448">
        <v>0</v>
      </c>
    </row>
    <row r="52" spans="1:61" ht="11.45" customHeight="1">
      <c r="A52" s="1290" t="s">
        <v>326</v>
      </c>
      <c r="B52" s="1290" t="s">
        <v>327</v>
      </c>
      <c r="C52" s="1290" t="s">
        <v>328</v>
      </c>
      <c r="D52" s="1290" t="s">
        <v>594</v>
      </c>
      <c r="E52" s="2602"/>
      <c r="F52" s="2602"/>
      <c r="G52" s="2602"/>
      <c r="H52" s="2602"/>
      <c r="I52" s="2604"/>
      <c r="J52" s="2604"/>
      <c r="K52" s="2603" t="str">
        <f>S48&amp;".1"</f>
        <v>...1</v>
      </c>
      <c r="L52" s="1291"/>
      <c r="P52" s="2605"/>
      <c r="Q52" s="2605"/>
      <c r="R52" s="294">
        <v>1</v>
      </c>
      <c r="S52" s="2658" t="str">
        <f>$K52</f>
        <v>...1</v>
      </c>
      <c r="T52" s="2678"/>
      <c r="U52" s="237"/>
      <c r="V52" s="688"/>
      <c r="W52" s="1184"/>
      <c r="X52" s="688"/>
      <c r="Y52" s="1184"/>
      <c r="Z52" s="1661"/>
      <c r="AA52" s="1386" t="s">
        <v>66</v>
      </c>
      <c r="AB52" s="1661"/>
      <c r="AC52" s="1386" t="s">
        <v>66</v>
      </c>
      <c r="AD52" s="2531" t="s">
        <v>66</v>
      </c>
      <c r="AE52" s="2654"/>
      <c r="AF52" s="2559">
        <v>1</v>
      </c>
      <c r="AG52" s="2677"/>
      <c r="AH52" s="2471" t="s">
        <v>66</v>
      </c>
      <c r="AI52" s="2654"/>
      <c r="AJ52" s="2559">
        <v>1</v>
      </c>
      <c r="AK52" s="2668" t="s">
        <v>28</v>
      </c>
      <c r="AL52" s="2471" t="s">
        <v>66</v>
      </c>
      <c r="AM52" s="2536"/>
      <c r="AN52" s="2559">
        <v>1</v>
      </c>
      <c r="AO52" s="2681"/>
      <c r="AP52" s="2682" t="s">
        <v>66</v>
      </c>
      <c r="AQ52" s="248"/>
      <c r="AR52" s="1390">
        <v>1</v>
      </c>
      <c r="AS52" s="1393" t="s">
        <v>28</v>
      </c>
      <c r="AT52" s="688"/>
      <c r="AU52" s="1184"/>
      <c r="AV52" s="688"/>
      <c r="AW52" s="1184"/>
      <c r="AX52" s="1661"/>
      <c r="AY52" s="1386" t="s">
        <v>66</v>
      </c>
      <c r="AZ52" s="1661"/>
      <c r="BA52" s="1386" t="s">
        <v>66</v>
      </c>
      <c r="BB52" s="1275"/>
      <c r="BC52" s="2624" t="s">
        <v>580</v>
      </c>
      <c r="BE52" s="437"/>
      <c r="BF52" s="437" t="str">
        <f t="shared" si="3"/>
        <v/>
      </c>
      <c r="BG52" s="437"/>
      <c r="BH52" s="437"/>
      <c r="BI52" s="1082">
        <v>11</v>
      </c>
    </row>
    <row r="53" spans="1:61" ht="11.45" customHeight="1">
      <c r="A53" s="1290"/>
      <c r="B53" s="1290"/>
      <c r="C53" s="1290"/>
      <c r="D53" s="1290"/>
      <c r="E53" s="2602"/>
      <c r="F53" s="2602"/>
      <c r="G53" s="2602"/>
      <c r="H53" s="2602"/>
      <c r="I53" s="2604"/>
      <c r="J53" s="2604"/>
      <c r="K53" s="2603"/>
      <c r="L53" s="1291"/>
      <c r="P53" s="2605"/>
      <c r="Q53" s="2605"/>
      <c r="R53" s="294"/>
      <c r="S53" s="2659"/>
      <c r="T53" s="2679"/>
      <c r="U53" s="237"/>
      <c r="V53" s="1320"/>
      <c r="W53" s="1423"/>
      <c r="X53" s="1320"/>
      <c r="Y53" s="1423"/>
      <c r="Z53" s="1320"/>
      <c r="AA53" s="1320"/>
      <c r="AB53" s="1320"/>
      <c r="AC53" s="1320"/>
      <c r="AD53" s="2532"/>
      <c r="AE53" s="2654"/>
      <c r="AF53" s="2559"/>
      <c r="AG53" s="2677"/>
      <c r="AH53" s="2471"/>
      <c r="AI53" s="2654"/>
      <c r="AJ53" s="2559"/>
      <c r="AK53" s="2668"/>
      <c r="AL53" s="2471"/>
      <c r="AM53" s="2541"/>
      <c r="AN53" s="2559"/>
      <c r="AO53" s="2681"/>
      <c r="AP53" s="2683"/>
      <c r="AQ53" s="253"/>
      <c r="AR53" s="353"/>
      <c r="AS53" s="353" t="s">
        <v>581</v>
      </c>
      <c r="AT53" s="1320"/>
      <c r="AU53" s="1423"/>
      <c r="AV53" s="1320"/>
      <c r="AW53" s="1423"/>
      <c r="AX53" s="1320"/>
      <c r="AY53" s="1320"/>
      <c r="AZ53" s="1320"/>
      <c r="BA53" s="1320"/>
      <c r="BB53" s="1324"/>
      <c r="BC53" s="2625"/>
      <c r="BE53" s="437"/>
      <c r="BF53" s="437"/>
      <c r="BG53" s="437"/>
      <c r="BH53" s="437"/>
      <c r="BI53" s="1082">
        <v>11</v>
      </c>
    </row>
    <row r="54" spans="1:61" ht="11.45" customHeight="1">
      <c r="A54" s="1290" t="s">
        <v>326</v>
      </c>
      <c r="B54" s="1290"/>
      <c r="C54" s="1290"/>
      <c r="D54" s="1290"/>
      <c r="E54" s="2602"/>
      <c r="F54" s="2602"/>
      <c r="G54" s="2602"/>
      <c r="H54" s="2602"/>
      <c r="I54" s="2604"/>
      <c r="J54" s="2604"/>
      <c r="K54" s="2603"/>
      <c r="L54" s="1291"/>
      <c r="P54" s="2605"/>
      <c r="Q54" s="2605"/>
      <c r="R54" s="294"/>
      <c r="S54" s="2659"/>
      <c r="T54" s="2679"/>
      <c r="U54" s="237"/>
      <c r="V54" s="1320"/>
      <c r="W54" s="1423"/>
      <c r="X54" s="1320"/>
      <c r="Y54" s="1423"/>
      <c r="Z54" s="1320"/>
      <c r="AA54" s="1320"/>
      <c r="AB54" s="1320"/>
      <c r="AC54" s="1320"/>
      <c r="AD54" s="2532"/>
      <c r="AE54" s="2654"/>
      <c r="AF54" s="2559"/>
      <c r="AG54" s="2677"/>
      <c r="AH54" s="2471"/>
      <c r="AI54" s="2654"/>
      <c r="AJ54" s="2559"/>
      <c r="AK54" s="2668"/>
      <c r="AL54" s="2471"/>
      <c r="AM54" s="253"/>
      <c r="AN54" s="1427"/>
      <c r="AO54" s="1427" t="s">
        <v>582</v>
      </c>
      <c r="AP54" s="353"/>
      <c r="AQ54" s="353"/>
      <c r="AR54" s="353"/>
      <c r="AS54" s="1320"/>
      <c r="AT54" s="1320"/>
      <c r="AU54" s="1423"/>
      <c r="AV54" s="1320"/>
      <c r="AW54" s="1423"/>
      <c r="AX54" s="1320"/>
      <c r="AY54" s="1320"/>
      <c r="AZ54" s="1320"/>
      <c r="BA54" s="1320"/>
      <c r="BB54" s="1324"/>
      <c r="BC54" s="2625"/>
      <c r="BE54" s="437"/>
      <c r="BF54" s="437"/>
      <c r="BG54" s="437"/>
      <c r="BH54" s="437"/>
      <c r="BI54" s="1082">
        <v>11</v>
      </c>
    </row>
    <row r="55" spans="1:61" ht="11.45" customHeight="1">
      <c r="A55" s="1290" t="s">
        <v>326</v>
      </c>
      <c r="B55" s="1290"/>
      <c r="C55" s="1290"/>
      <c r="D55" s="1290"/>
      <c r="E55" s="2602"/>
      <c r="F55" s="2602"/>
      <c r="G55" s="2602"/>
      <c r="H55" s="2602"/>
      <c r="I55" s="2604"/>
      <c r="J55" s="2604"/>
      <c r="K55" s="2603"/>
      <c r="L55" s="1291"/>
      <c r="P55" s="2605"/>
      <c r="Q55" s="2605"/>
      <c r="R55" s="294"/>
      <c r="S55" s="2659"/>
      <c r="T55" s="2679"/>
      <c r="U55" s="237"/>
      <c r="V55" s="1320"/>
      <c r="W55" s="1423"/>
      <c r="X55" s="1320"/>
      <c r="Y55" s="1423"/>
      <c r="Z55" s="1320"/>
      <c r="AA55" s="1320"/>
      <c r="AB55" s="1320"/>
      <c r="AC55" s="1320"/>
      <c r="AD55" s="2532"/>
      <c r="AE55" s="2654"/>
      <c r="AF55" s="2559"/>
      <c r="AG55" s="2677"/>
      <c r="AH55" s="2471"/>
      <c r="AI55" s="231"/>
      <c r="AJ55" s="352"/>
      <c r="AK55" s="250" t="s">
        <v>583</v>
      </c>
      <c r="AL55" s="1320"/>
      <c r="AM55" s="1320"/>
      <c r="AN55" s="1320"/>
      <c r="AO55" s="1320"/>
      <c r="AP55" s="1320"/>
      <c r="AQ55" s="1320"/>
      <c r="AR55" s="1320"/>
      <c r="AS55" s="1320"/>
      <c r="AT55" s="1320"/>
      <c r="AU55" s="1423"/>
      <c r="AV55" s="1320"/>
      <c r="AW55" s="1423"/>
      <c r="AX55" s="1320"/>
      <c r="AY55" s="1320"/>
      <c r="AZ55" s="1320"/>
      <c r="BA55" s="1320"/>
      <c r="BB55" s="1324"/>
      <c r="BC55" s="2625"/>
      <c r="BE55" s="437"/>
      <c r="BF55" s="437"/>
      <c r="BG55" s="437"/>
      <c r="BH55" s="437"/>
      <c r="BI55" s="1082">
        <v>11</v>
      </c>
    </row>
    <row r="56" spans="1:61" ht="11.45" customHeight="1">
      <c r="A56" s="1290" t="s">
        <v>326</v>
      </c>
      <c r="B56" s="1290" t="s">
        <v>327</v>
      </c>
      <c r="C56" s="1290" t="s">
        <v>328</v>
      </c>
      <c r="D56" s="1290" t="s">
        <v>594</v>
      </c>
      <c r="E56" s="2602"/>
      <c r="F56" s="2602"/>
      <c r="G56" s="2602"/>
      <c r="H56" s="2602"/>
      <c r="I56" s="2604"/>
      <c r="J56" s="2604"/>
      <c r="K56" s="2603"/>
      <c r="L56" s="1291"/>
      <c r="P56" s="2605"/>
      <c r="Q56" s="2605"/>
      <c r="R56" s="294"/>
      <c r="S56" s="2660"/>
      <c r="T56" s="2680"/>
      <c r="U56" s="237"/>
      <c r="V56" s="1320"/>
      <c r="W56" s="1321" t="str">
        <f>Z52&amp;"-"&amp;AB52</f>
        <v>-</v>
      </c>
      <c r="X56" s="1320"/>
      <c r="Y56" s="1321" t="str">
        <f>AB52&amp;"-"&amp;AD52</f>
        <v>-да</v>
      </c>
      <c r="Z56" s="1320"/>
      <c r="AA56" s="1320"/>
      <c r="AB56" s="1320"/>
      <c r="AC56" s="1320"/>
      <c r="AD56" s="2476"/>
      <c r="AE56" s="249"/>
      <c r="AF56" s="251"/>
      <c r="AG56" s="353" t="s">
        <v>584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25"/>
      <c r="BE56" s="437"/>
      <c r="BF56" s="437" t="str">
        <f t="shared" ref="BF56:BF63" si="4">IF(T56="","",T56)</f>
        <v/>
      </c>
      <c r="BG56" s="437"/>
      <c r="BH56" s="437"/>
      <c r="BI56" s="1082">
        <v>11</v>
      </c>
    </row>
    <row r="57" spans="1:61" ht="11.45" customHeight="1">
      <c r="A57" s="1290" t="s">
        <v>326</v>
      </c>
      <c r="B57" s="1290" t="s">
        <v>327</v>
      </c>
      <c r="C57" s="1290" t="s">
        <v>328</v>
      </c>
      <c r="D57" s="1290" t="s">
        <v>594</v>
      </c>
      <c r="E57" s="2602"/>
      <c r="F57" s="2602"/>
      <c r="G57" s="2602"/>
      <c r="H57" s="2602"/>
      <c r="I57" s="2604"/>
      <c r="J57" s="2603"/>
      <c r="K57" s="1290"/>
      <c r="L57" s="1291"/>
      <c r="P57" s="2605"/>
      <c r="Q57" s="2605"/>
      <c r="R57" s="293"/>
      <c r="S57" s="1205"/>
      <c r="T57" s="224" t="s">
        <v>545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26"/>
      <c r="BE57" s="437"/>
      <c r="BF57" s="437" t="str">
        <f t="shared" si="4"/>
        <v>Добавить строку</v>
      </c>
      <c r="BG57" s="437"/>
      <c r="BH57" s="437"/>
      <c r="BI57" s="1082">
        <v>11</v>
      </c>
    </row>
    <row r="58" spans="1:61" s="1569" customFormat="1" ht="0" hidden="1" customHeight="1">
      <c r="A58" s="1270" t="s">
        <v>326</v>
      </c>
      <c r="B58" s="1270" t="s">
        <v>327</v>
      </c>
      <c r="C58" s="1270" t="s">
        <v>328</v>
      </c>
      <c r="D58" s="1270" t="s">
        <v>594</v>
      </c>
      <c r="E58" s="2602"/>
      <c r="F58" s="2602"/>
      <c r="G58" s="2602"/>
      <c r="H58" s="2602"/>
      <c r="I58" s="2603"/>
      <c r="J58" s="1270"/>
      <c r="K58" s="1270"/>
      <c r="L58" s="1273"/>
      <c r="M58" s="447"/>
      <c r="N58" s="447"/>
      <c r="O58" s="447"/>
      <c r="P58" s="260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326</v>
      </c>
      <c r="B59" s="1270" t="s">
        <v>327</v>
      </c>
      <c r="C59" s="1270" t="s">
        <v>328</v>
      </c>
      <c r="D59" s="1270" t="s">
        <v>594</v>
      </c>
      <c r="E59" s="2602"/>
      <c r="F59" s="2602"/>
      <c r="G59" s="2602"/>
      <c r="H59" s="260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326</v>
      </c>
      <c r="B60" s="1270" t="s">
        <v>327</v>
      </c>
      <c r="C60" s="1270" t="s">
        <v>328</v>
      </c>
      <c r="D60" s="1241"/>
      <c r="E60" s="2602"/>
      <c r="F60" s="2602"/>
      <c r="G60" s="260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326</v>
      </c>
      <c r="B61" s="1270" t="s">
        <v>327</v>
      </c>
      <c r="C61" s="1241"/>
      <c r="D61" s="1241"/>
      <c r="E61" s="2602"/>
      <c r="F61" s="2601"/>
      <c r="G61" s="1241"/>
      <c r="H61" s="1241"/>
      <c r="I61" s="1241"/>
      <c r="J61" s="1241"/>
      <c r="K61" s="1241"/>
      <c r="L61" s="1391"/>
      <c r="M61" s="1248"/>
      <c r="N61" s="1248"/>
      <c r="P61" s="1243"/>
      <c r="Q61" s="1244"/>
      <c r="R61" s="1243"/>
      <c r="S61" s="1249"/>
      <c r="T61" s="1252" t="s">
        <v>295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326</v>
      </c>
      <c r="B62" s="1270"/>
      <c r="C62" s="1270"/>
      <c r="D62" s="1270"/>
      <c r="E62" s="2601"/>
      <c r="F62" s="1270"/>
      <c r="G62" s="1270"/>
      <c r="H62" s="1270"/>
      <c r="I62" s="1270"/>
      <c r="J62" s="1270"/>
      <c r="K62" s="1270"/>
      <c r="L62" s="1273"/>
      <c r="M62" s="1248"/>
      <c r="N62" s="1248"/>
      <c r="O62" s="455"/>
      <c r="P62" s="317"/>
      <c r="Q62" s="1271"/>
      <c r="R62" s="317"/>
      <c r="S62" s="1249"/>
      <c r="T62" s="1252" t="s">
        <v>299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300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01">
        <v>1</v>
      </c>
      <c r="F2" s="1290"/>
      <c r="G2" s="1290"/>
      <c r="H2" s="1290"/>
      <c r="I2" s="1290"/>
      <c r="J2" s="1290"/>
      <c r="K2" s="1290"/>
      <c r="L2" s="1291"/>
      <c r="M2" s="1292"/>
      <c r="N2" s="1292"/>
      <c r="O2" s="1292"/>
      <c r="P2" s="298"/>
      <c r="Q2" s="297"/>
      <c r="R2" s="292"/>
      <c r="S2" s="1420" t="e">
        <f>INDEX(PT_DIFFERENTIATION_NUM_NTAR,MATCH(A2,PT_DIFFERENTIATION_NTAR_ID,0))</f>
        <v>#N/A</v>
      </c>
      <c r="T2" s="235" t="s">
        <v>189</v>
      </c>
      <c r="U2" s="237"/>
      <c r="V2" s="2595"/>
      <c r="W2" s="2596"/>
      <c r="X2" s="2596"/>
      <c r="Y2" s="2596"/>
      <c r="Z2" s="2596"/>
      <c r="AA2" s="2596"/>
      <c r="AB2" s="2597"/>
      <c r="AC2" s="2595" t="e">
        <f>INDEX(PT_DIFFERENTIATION_NTAR,MATCH(A2,PT_DIFFERENTIATION_NTAR_ID,0))</f>
        <v>#N/A</v>
      </c>
      <c r="AD2" s="2596"/>
      <c r="AE2" s="2596"/>
      <c r="AF2" s="2596"/>
      <c r="AG2" s="2596"/>
      <c r="AH2" s="2596"/>
      <c r="AI2" s="2596"/>
      <c r="AJ2" s="259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02"/>
      <c r="F3" s="2601">
        <v>1</v>
      </c>
      <c r="G3" s="1290"/>
      <c r="H3" s="1290"/>
      <c r="I3" s="1290"/>
      <c r="J3" s="1290"/>
      <c r="K3" s="1290"/>
      <c r="L3" s="1291"/>
      <c r="M3" s="1292"/>
      <c r="N3" s="1292"/>
      <c r="O3" s="1292"/>
      <c r="P3" s="1414"/>
      <c r="Q3" s="289"/>
      <c r="R3" s="290"/>
      <c r="S3" s="1420" t="e">
        <f>INDEX(PT_DIFFERENTIATION_NUM_TER,MATCH(B3,PT_DIFFERENTIATION_TER_ID,0))</f>
        <v>#N/A</v>
      </c>
      <c r="T3" s="245" t="s">
        <v>477</v>
      </c>
      <c r="U3" s="237"/>
      <c r="V3" s="2595"/>
      <c r="W3" s="2596"/>
      <c r="X3" s="2596"/>
      <c r="Y3" s="2596"/>
      <c r="Z3" s="2596"/>
      <c r="AA3" s="2596"/>
      <c r="AB3" s="2597"/>
      <c r="AC3" s="2595" t="e">
        <f>INDEX(PT_DIFFERENTIATION_TER,MATCH(B3,PT_DIFFERENTIATION_TER_ID,0))</f>
        <v>#N/A</v>
      </c>
      <c r="AD3" s="2596"/>
      <c r="AE3" s="2596"/>
      <c r="AF3" s="2596"/>
      <c r="AG3" s="2596"/>
      <c r="AH3" s="2596"/>
      <c r="AI3" s="2596"/>
      <c r="AJ3" s="2597"/>
      <c r="AK3" s="1185" t="s">
        <v>478</v>
      </c>
      <c r="AM3" s="437"/>
      <c r="AN3" s="437" t="str">
        <f t="shared" si="0"/>
        <v>Территория действия тарифа</v>
      </c>
      <c r="AO3" s="437"/>
      <c r="AP3" s="437"/>
      <c r="AQ3" s="1082">
        <v>0</v>
      </c>
    </row>
    <row r="4" spans="1:43" ht="23.25" hidden="1" customHeight="1">
      <c r="A4" s="1290"/>
      <c r="B4" s="1290"/>
      <c r="C4" s="1290"/>
      <c r="D4" s="1290"/>
      <c r="E4" s="2602"/>
      <c r="F4" s="2602"/>
      <c r="G4" s="2601">
        <v>1</v>
      </c>
      <c r="H4" s="1290"/>
      <c r="I4" s="1290"/>
      <c r="J4" s="1290"/>
      <c r="K4" s="1290"/>
      <c r="L4" s="1291"/>
      <c r="M4" s="1292"/>
      <c r="N4" s="1292"/>
      <c r="O4" s="1292"/>
      <c r="P4" s="291"/>
      <c r="Q4" s="289"/>
      <c r="R4" s="290"/>
      <c r="S4" s="1420" t="e">
        <f>INDEX(PT_DIFFERENTIATION_NUM_CS,MATCH(C4,PT_DIFFERENTIATION_CS_ID,0))</f>
        <v>#N/A</v>
      </c>
      <c r="T4" s="246" t="s">
        <v>595</v>
      </c>
      <c r="U4" s="237"/>
      <c r="V4" s="2595"/>
      <c r="W4" s="2596"/>
      <c r="X4" s="2596"/>
      <c r="Y4" s="2596"/>
      <c r="Z4" s="2596"/>
      <c r="AA4" s="2596"/>
      <c r="AB4" s="2597"/>
      <c r="AC4" s="2595" t="e">
        <f>INDEX(PT_DIFFERENTIATION_CS,MATCH(C4,PT_DIFFERENTIATION_CS_ID,0))</f>
        <v>#N/A</v>
      </c>
      <c r="AD4" s="2596"/>
      <c r="AE4" s="2596"/>
      <c r="AF4" s="2596"/>
      <c r="AG4" s="2596"/>
      <c r="AH4" s="2596"/>
      <c r="AI4" s="2596"/>
      <c r="AJ4" s="2597"/>
      <c r="AK4" s="1185" t="s">
        <v>596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602"/>
      <c r="F5" s="2602"/>
      <c r="G5" s="2602"/>
      <c r="H5" s="2602"/>
      <c r="I5" s="2603" t="e">
        <f>S4&amp;".1"</f>
        <v>#N/A</v>
      </c>
      <c r="J5" s="1290"/>
      <c r="K5" s="1290"/>
      <c r="L5" s="1291"/>
      <c r="P5" s="2605">
        <v>1</v>
      </c>
      <c r="Q5" s="1408"/>
      <c r="R5" s="293"/>
      <c r="S5" s="1420" t="e">
        <f>$I5</f>
        <v>#N/A</v>
      </c>
      <c r="T5" s="222" t="s">
        <v>560</v>
      </c>
      <c r="U5" s="237"/>
      <c r="V5" s="2669"/>
      <c r="W5" s="2670"/>
      <c r="X5" s="2670"/>
      <c r="Y5" s="2670"/>
      <c r="Z5" s="2670"/>
      <c r="AA5" s="2670"/>
      <c r="AB5" s="2671"/>
      <c r="AC5" s="2672"/>
      <c r="AD5" s="2673"/>
      <c r="AE5" s="2673"/>
      <c r="AF5" s="2673"/>
      <c r="AG5" s="2673"/>
      <c r="AH5" s="2673"/>
      <c r="AI5" s="2673"/>
      <c r="AJ5" s="2674"/>
      <c r="AK5" s="1185" t="s">
        <v>561</v>
      </c>
      <c r="AM5" s="437"/>
      <c r="AN5" s="437" t="str">
        <f t="shared" si="0"/>
        <v>Наименование признака дифференциации</v>
      </c>
      <c r="AO5" s="437"/>
      <c r="AP5" s="437"/>
      <c r="AQ5" s="1082">
        <v>0</v>
      </c>
    </row>
    <row r="6" spans="1:43" ht="23.25" hidden="1" customHeight="1">
      <c r="A6" s="1290"/>
      <c r="B6" s="1290"/>
      <c r="C6" s="1290"/>
      <c r="D6" s="1290"/>
      <c r="E6" s="2602"/>
      <c r="F6" s="2602"/>
      <c r="G6" s="2602"/>
      <c r="H6" s="2602"/>
      <c r="I6" s="2604"/>
      <c r="J6" s="2603" t="e">
        <f>I5&amp;".1"</f>
        <v>#N/A</v>
      </c>
      <c r="K6" s="1290"/>
      <c r="L6" s="1291" t="s">
        <v>486</v>
      </c>
      <c r="P6" s="2605"/>
      <c r="Q6" s="2605">
        <v>1</v>
      </c>
      <c r="R6" s="294"/>
      <c r="S6" s="1420" t="e">
        <f>$J6</f>
        <v>#N/A</v>
      </c>
      <c r="T6" s="223" t="s">
        <v>487</v>
      </c>
      <c r="U6" s="237"/>
      <c r="V6" s="2589"/>
      <c r="W6" s="2590"/>
      <c r="X6" s="2590"/>
      <c r="Y6" s="2590"/>
      <c r="Z6" s="2590"/>
      <c r="AA6" s="2590"/>
      <c r="AB6" s="2591"/>
      <c r="AC6" s="2589"/>
      <c r="AD6" s="2590"/>
      <c r="AE6" s="2590"/>
      <c r="AF6" s="2590"/>
      <c r="AG6" s="2590"/>
      <c r="AH6" s="2590"/>
      <c r="AI6" s="2590"/>
      <c r="AJ6" s="2591"/>
      <c r="AK6" s="1234" t="s">
        <v>562</v>
      </c>
      <c r="AM6" s="437"/>
      <c r="AN6" s="437" t="str">
        <f t="shared" si="0"/>
        <v>Группа потребителей</v>
      </c>
      <c r="AO6" s="437"/>
      <c r="AP6" s="437"/>
      <c r="AQ6" s="1082">
        <v>0</v>
      </c>
    </row>
    <row r="7" spans="1:43" ht="23.25" hidden="1" customHeight="1">
      <c r="A7" s="1290"/>
      <c r="B7" s="1290"/>
      <c r="C7" s="1290"/>
      <c r="D7" s="1290"/>
      <c r="E7" s="2602"/>
      <c r="F7" s="2602"/>
      <c r="G7" s="2602"/>
      <c r="H7" s="2602"/>
      <c r="I7" s="2604"/>
      <c r="J7" s="2604"/>
      <c r="K7" s="2603" t="e">
        <f>J6&amp;".1"</f>
        <v>#N/A</v>
      </c>
      <c r="L7" s="1291"/>
      <c r="P7" s="2605"/>
      <c r="Q7" s="2605"/>
      <c r="R7" s="294">
        <v>1</v>
      </c>
      <c r="S7" s="1420" t="e">
        <f>$K7</f>
        <v>#N/A</v>
      </c>
      <c r="T7" s="1364"/>
      <c r="U7" s="237"/>
      <c r="V7" s="688"/>
      <c r="W7" s="688"/>
      <c r="X7" s="1184"/>
      <c r="Y7" s="2606"/>
      <c r="Z7" s="2471" t="s">
        <v>66</v>
      </c>
      <c r="AA7" s="2606"/>
      <c r="AB7" s="2471" t="s">
        <v>66</v>
      </c>
      <c r="AC7" s="688"/>
      <c r="AD7" s="688"/>
      <c r="AE7" s="1184"/>
      <c r="AF7" s="2606"/>
      <c r="AG7" s="2471" t="s">
        <v>66</v>
      </c>
      <c r="AH7" s="2608"/>
      <c r="AI7" s="2471" t="s">
        <v>66</v>
      </c>
      <c r="AJ7" s="1365"/>
      <c r="AK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02"/>
      <c r="F8" s="2602"/>
      <c r="G8" s="2602"/>
      <c r="H8" s="2602"/>
      <c r="I8" s="2604"/>
      <c r="J8" s="2604"/>
      <c r="K8" s="2603"/>
      <c r="L8" s="1291"/>
      <c r="P8" s="2605"/>
      <c r="Q8" s="2605"/>
      <c r="R8" s="294"/>
      <c r="S8" s="1417"/>
      <c r="T8" s="237"/>
      <c r="U8" s="237"/>
      <c r="V8" s="262"/>
      <c r="W8" s="262"/>
      <c r="X8" s="265" t="str">
        <f>Y7&amp;"-"&amp;AA7</f>
        <v>-</v>
      </c>
      <c r="Y8" s="2607"/>
      <c r="Z8" s="2471"/>
      <c r="AA8" s="2607"/>
      <c r="AB8" s="2471"/>
      <c r="AC8" s="262"/>
      <c r="AD8" s="262"/>
      <c r="AE8" s="265" t="str">
        <f>AF7&amp;"-"&amp;AH7</f>
        <v>-</v>
      </c>
      <c r="AF8" s="2607"/>
      <c r="AG8" s="2471"/>
      <c r="AH8" s="2609"/>
      <c r="AI8" s="2471"/>
      <c r="AJ8" s="1366"/>
      <c r="AK8" s="2675"/>
      <c r="AM8" s="437"/>
      <c r="AN8" s="437" t="str">
        <f t="shared" si="0"/>
        <v/>
      </c>
      <c r="AO8" s="437"/>
      <c r="AP8" s="437"/>
      <c r="AQ8" s="1082">
        <v>0</v>
      </c>
    </row>
    <row r="9" spans="1:43" ht="21" hidden="1" customHeight="1">
      <c r="A9" s="1290"/>
      <c r="B9" s="1290"/>
      <c r="C9" s="1290"/>
      <c r="D9" s="1290"/>
      <c r="E9" s="2602"/>
      <c r="F9" s="2602"/>
      <c r="G9" s="2602"/>
      <c r="H9" s="2602"/>
      <c r="I9" s="2604"/>
      <c r="J9" s="2603"/>
      <c r="K9" s="1290"/>
      <c r="L9" s="1291"/>
      <c r="P9" s="2605"/>
      <c r="Q9" s="2605"/>
      <c r="R9" s="293"/>
      <c r="S9" s="1205"/>
      <c r="T9" s="224" t="s">
        <v>563</v>
      </c>
      <c r="U9" s="304"/>
      <c r="V9" s="304"/>
      <c r="W9" s="304"/>
      <c r="X9" s="304"/>
      <c r="Y9" s="304"/>
      <c r="Z9" s="304"/>
      <c r="AA9" s="304"/>
      <c r="AB9" s="304"/>
      <c r="AC9" s="304"/>
      <c r="AD9" s="304"/>
      <c r="AE9" s="304"/>
      <c r="AF9" s="304"/>
      <c r="AG9" s="304"/>
      <c r="AH9" s="304"/>
      <c r="AI9" s="304"/>
      <c r="AJ9" s="304"/>
      <c r="AK9" s="1185" t="s">
        <v>564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02"/>
      <c r="F10" s="2602"/>
      <c r="G10" s="2602"/>
      <c r="H10" s="2602"/>
      <c r="I10" s="2603"/>
      <c r="J10" s="1290"/>
      <c r="K10" s="1290"/>
      <c r="L10" s="1291"/>
      <c r="P10" s="2605"/>
      <c r="Q10" s="1408"/>
      <c r="R10" s="293"/>
      <c r="S10" s="1205"/>
      <c r="T10" s="302" t="s">
        <v>492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02"/>
      <c r="F12" s="2601"/>
      <c r="G12" s="1241"/>
      <c r="H12" s="1241"/>
      <c r="I12" s="1241"/>
      <c r="J12" s="1241"/>
      <c r="K12" s="1241"/>
      <c r="L12" s="1421"/>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99"/>
      <c r="AG15" s="2598" t="s">
        <v>66</v>
      </c>
      <c r="AH15" s="2599"/>
      <c r="AI15" s="2598" t="s">
        <v>66</v>
      </c>
      <c r="AQ15" s="1082">
        <v>0</v>
      </c>
    </row>
    <row r="16" spans="1:43" ht="14.25" hidden="1" customHeight="1">
      <c r="AC16" s="1287"/>
      <c r="AD16" s="1287"/>
      <c r="AE16" s="265" t="str">
        <f>AF15&amp;"-"&amp;AH15</f>
        <v>-</v>
      </c>
      <c r="AF16" s="2598"/>
      <c r="AG16" s="2598"/>
      <c r="AH16" s="2598"/>
      <c r="AI16" s="2598"/>
      <c r="AQ16" s="1082">
        <v>0</v>
      </c>
    </row>
    <row r="17" spans="1:43" ht="14.25" hidden="1" customHeight="1">
      <c r="AI17" s="264"/>
      <c r="AQ17" s="1082">
        <v>0</v>
      </c>
    </row>
    <row r="18" spans="1:43" s="1293" customFormat="1" ht="22.5" hidden="1" customHeight="1">
      <c r="L18" s="1405"/>
      <c r="M18" s="1289"/>
      <c r="N18" s="1289"/>
      <c r="O18" s="1294" t="s">
        <v>495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496</v>
      </c>
      <c r="P20" s="1289"/>
      <c r="Q20" s="1369"/>
      <c r="R20" s="1369"/>
      <c r="S20" s="666"/>
      <c r="T20" s="1087" t="s">
        <v>497</v>
      </c>
      <c r="Z20" s="123" t="s">
        <v>498</v>
      </c>
      <c r="AB20" s="123" t="s">
        <v>499</v>
      </c>
      <c r="AC20" s="1087" t="s">
        <v>497</v>
      </c>
      <c r="AG20" s="123" t="s">
        <v>500</v>
      </c>
      <c r="AI20" s="123" t="s">
        <v>499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8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82"/>
      <c r="U24" s="2582"/>
      <c r="V24" s="2582"/>
      <c r="W24" s="2582"/>
      <c r="X24" s="2582"/>
      <c r="Y24" s="2582"/>
      <c r="Z24" s="2582"/>
      <c r="AA24" s="2582"/>
      <c r="AB24" s="2582"/>
      <c r="AC24" s="2582"/>
      <c r="AD24" s="2582"/>
      <c r="AE24" s="2582"/>
      <c r="AF24" s="2582"/>
      <c r="AG24" s="2582"/>
      <c r="AH24" s="2582"/>
      <c r="AI24" s="1170"/>
      <c r="AQ24" s="1082">
        <v>14</v>
      </c>
    </row>
    <row r="25" spans="1:43"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63"/>
      <c r="AC27" s="2594" t="str">
        <f>IF(TITLE_NAME_OR_PR_CHANGE="",IF(TITLE_NAME_OR_PR="","",TITLE_NAME_OR_PR),TITLE_NAME_OR_PR_CHANGE)</f>
        <v>Региональная служба по тарифам Ростовской области</v>
      </c>
      <c r="AD27" s="2594"/>
      <c r="AE27" s="2594"/>
      <c r="AF27" s="2594"/>
      <c r="AG27" s="2594"/>
      <c r="AH27" s="2594"/>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63"/>
      <c r="AC28" s="2593">
        <f>IF(TITLE_DATE_PR_CHANGE="",IF(TITLE_DATE_PR="","",TITLE_DATE_PR),TITLE_DATE_PR_CHANGE)</f>
        <v>45596.468541666669</v>
      </c>
      <c r="AD28" s="2593"/>
      <c r="AE28" s="2593"/>
      <c r="AF28" s="2593"/>
      <c r="AG28" s="2593"/>
      <c r="AH28" s="2593"/>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63"/>
      <c r="AC29" s="2594" t="str">
        <f>IF(TITLE_NUMBER_PR_CHANGE="",IF(TITLE_NUMBER_PR="","",TITLE_NUMBER_PR),TITLE_NUMBER_PR_CHANGE)</f>
        <v>440,503</v>
      </c>
      <c r="AD29" s="2594"/>
      <c r="AE29" s="2594"/>
      <c r="AF29" s="2594"/>
      <c r="AG29" s="2594"/>
      <c r="AH29" s="2594"/>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63"/>
      <c r="AC30" s="2594" t="str">
        <f>IF(TITLE_IST_PUB_CHANGE="",IF(TITLE_IST_PUB="","",TITLE_IST_PUB),TITLE_IST_PUB_CHANGE)</f>
        <v>Региональная служба по тарифам Ростовской области</v>
      </c>
      <c r="AD30" s="2594"/>
      <c r="AE30" s="2594"/>
      <c r="AF30" s="2594"/>
      <c r="AG30" s="2594"/>
      <c r="AH30" s="259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63"/>
      <c r="AC32" s="2593">
        <f>IF(TITLE_DATE_PR_CHANGE="",IF(TITLE_DATE_PR="","",TITLE_DATE_PR),TITLE_DATE_PR_CHANGE)</f>
        <v>45596.468541666669</v>
      </c>
      <c r="AD32" s="2593"/>
      <c r="AE32" s="2593"/>
      <c r="AF32" s="2593"/>
      <c r="AG32" s="2593"/>
      <c r="AH32" s="259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63"/>
      <c r="AC33" s="2594" t="str">
        <f>IF(TITLE_NUMBER_PR_CHANGE="",IF(TITLE_NUMBER_PR="","",TITLE_NUMBER_PR),TITLE_NUMBER_PR_CHANGE)</f>
        <v>440,503</v>
      </c>
      <c r="AD33" s="2594"/>
      <c r="AE33" s="2594"/>
      <c r="AF33" s="2594"/>
      <c r="AG33" s="2594"/>
      <c r="AH33" s="259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505</v>
      </c>
      <c r="AC34" s="263"/>
      <c r="AD34" s="263"/>
      <c r="AE34" s="263"/>
      <c r="AF34" s="263"/>
      <c r="AG34" s="263"/>
      <c r="AH34" s="263"/>
      <c r="AI34" s="215" t="s">
        <v>505</v>
      </c>
      <c r="AL34" s="305"/>
      <c r="AM34" s="305"/>
      <c r="AN34" s="305"/>
      <c r="AO34" s="305"/>
      <c r="AP34" s="305"/>
      <c r="AQ34" s="355">
        <v>1</v>
      </c>
    </row>
    <row r="35" spans="1:43" ht="14.65" customHeight="1">
      <c r="Q35" s="313"/>
      <c r="R35" s="313"/>
      <c r="S35" s="1202"/>
      <c r="T35" s="300"/>
      <c r="U35" s="1171"/>
      <c r="V35" s="2613"/>
      <c r="W35" s="2613"/>
      <c r="X35" s="2613"/>
      <c r="Y35" s="2613"/>
      <c r="Z35" s="2613"/>
      <c r="AA35" s="2613"/>
      <c r="AB35" s="2613"/>
      <c r="AC35" s="2613"/>
      <c r="AD35" s="2613"/>
      <c r="AE35" s="2613"/>
      <c r="AF35" s="2613"/>
      <c r="AG35" s="2613"/>
      <c r="AH35" s="2613"/>
      <c r="AI35" s="2613"/>
      <c r="AQ35" s="1082">
        <v>14</v>
      </c>
    </row>
    <row r="36" spans="1:43"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c r="AK36" s="2461" t="s">
        <v>381</v>
      </c>
      <c r="AQ36" s="1082">
        <v>14</v>
      </c>
    </row>
    <row r="37" spans="1:43" ht="14.65" customHeight="1">
      <c r="Q37" s="313"/>
      <c r="R37" s="313"/>
      <c r="S37" s="2614" t="s">
        <v>88</v>
      </c>
      <c r="T37" s="2563" t="s">
        <v>506</v>
      </c>
      <c r="U37" s="238"/>
      <c r="V37" s="2615" t="s">
        <v>507</v>
      </c>
      <c r="W37" s="2616"/>
      <c r="X37" s="2616"/>
      <c r="Y37" s="2616"/>
      <c r="Z37" s="2616"/>
      <c r="AA37" s="2617"/>
      <c r="AB37" s="2618" t="s">
        <v>508</v>
      </c>
      <c r="AC37" s="2615" t="s">
        <v>507</v>
      </c>
      <c r="AD37" s="2616"/>
      <c r="AE37" s="2616"/>
      <c r="AF37" s="2616"/>
      <c r="AG37" s="2616"/>
      <c r="AH37" s="2617"/>
      <c r="AI37" s="2618" t="s">
        <v>509</v>
      </c>
      <c r="AJ37" s="2621" t="s">
        <v>510</v>
      </c>
      <c r="AK37" s="2461"/>
      <c r="AQ37" s="1082">
        <v>14</v>
      </c>
    </row>
    <row r="38" spans="1:43" ht="35.65" customHeight="1">
      <c r="Q38" s="313"/>
      <c r="R38" s="313"/>
      <c r="S38" s="2614"/>
      <c r="T38" s="2563"/>
      <c r="U38" s="961"/>
      <c r="V38" s="1410" t="s">
        <v>566</v>
      </c>
      <c r="W38" s="2442" t="s">
        <v>513</v>
      </c>
      <c r="X38" s="2441"/>
      <c r="Y38" s="2442" t="s">
        <v>514</v>
      </c>
      <c r="Z38" s="2448"/>
      <c r="AA38" s="2441"/>
      <c r="AB38" s="2619"/>
      <c r="AC38" s="1410" t="s">
        <v>566</v>
      </c>
      <c r="AD38" s="2442" t="s">
        <v>513</v>
      </c>
      <c r="AE38" s="2441"/>
      <c r="AF38" s="2442" t="s">
        <v>514</v>
      </c>
      <c r="AG38" s="2448"/>
      <c r="AH38" s="2441"/>
      <c r="AI38" s="2619"/>
      <c r="AJ38" s="2622"/>
      <c r="AK38" s="2461"/>
      <c r="AQ38" s="1082">
        <v>34</v>
      </c>
    </row>
    <row r="39" spans="1:43" ht="90.4" customHeight="1">
      <c r="A39" s="1297"/>
      <c r="B39" s="1297" t="s">
        <v>201</v>
      </c>
      <c r="C39" s="1297" t="s">
        <v>202</v>
      </c>
      <c r="D39" s="1297" t="s">
        <v>203</v>
      </c>
      <c r="E39" s="1291" t="s">
        <v>515</v>
      </c>
      <c r="F39" s="1291" t="s">
        <v>516</v>
      </c>
      <c r="G39" s="1291" t="s">
        <v>517</v>
      </c>
      <c r="H39" s="1291"/>
      <c r="I39" s="1291" t="s">
        <v>567</v>
      </c>
      <c r="J39" s="1291" t="s">
        <v>520</v>
      </c>
      <c r="K39" s="1291" t="s">
        <v>568</v>
      </c>
      <c r="L39" s="1291" t="s">
        <v>496</v>
      </c>
      <c r="Q39" s="313"/>
      <c r="R39" s="313"/>
      <c r="S39" s="2614"/>
      <c r="T39" s="2563"/>
      <c r="U39" s="239"/>
      <c r="V39" s="1410" t="s">
        <v>597</v>
      </c>
      <c r="W39" s="1149" t="s">
        <v>598</v>
      </c>
      <c r="X39" s="1149" t="s">
        <v>571</v>
      </c>
      <c r="Y39" s="1416" t="s">
        <v>524</v>
      </c>
      <c r="Z39" s="2568" t="s">
        <v>525</v>
      </c>
      <c r="AA39" s="2581"/>
      <c r="AB39" s="2620"/>
      <c r="AC39" s="1410" t="s">
        <v>597</v>
      </c>
      <c r="AD39" s="1149" t="s">
        <v>598</v>
      </c>
      <c r="AE39" s="1149" t="s">
        <v>571</v>
      </c>
      <c r="AF39" s="1416" t="s">
        <v>524</v>
      </c>
      <c r="AG39" s="2568" t="s">
        <v>525</v>
      </c>
      <c r="AH39" s="2581"/>
      <c r="AI39" s="2620"/>
      <c r="AJ39" s="2623"/>
      <c r="AK39" s="246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177</v>
      </c>
      <c r="T40" s="1182" t="s">
        <v>102</v>
      </c>
      <c r="U40" s="1172" t="str">
        <f ca="1">OFFSET(U40,0,-1)</f>
        <v>2</v>
      </c>
      <c r="V40" s="1409">
        <f ca="1">OFFSET(V40,0,-1)+1</f>
        <v>3</v>
      </c>
      <c r="W40" s="1409">
        <f ca="1">OFFSET(W40,0,-1)+1</f>
        <v>4</v>
      </c>
      <c r="X40" s="1409">
        <f ca="1">OFFSET(X40,0,-1)+1</f>
        <v>5</v>
      </c>
      <c r="Y40" s="1409">
        <f ca="1">OFFSET(Y40,0,-1)+1</f>
        <v>6</v>
      </c>
      <c r="Z40" s="2612">
        <f ca="1">OFFSET(Z40,0,-1)+1</f>
        <v>7</v>
      </c>
      <c r="AA40" s="2612"/>
      <c r="AB40" s="1409">
        <f ca="1">OFFSET(AB40,0,-2)+1</f>
        <v>8</v>
      </c>
      <c r="AC40" s="1409">
        <f ca="1">OFFSET(AC40,0,-1)+1</f>
        <v>9</v>
      </c>
      <c r="AD40" s="1409">
        <f ca="1">OFFSET(AD40,0,-1)+1</f>
        <v>10</v>
      </c>
      <c r="AE40" s="1409">
        <f ca="1">OFFSET(AE40,0,-1)+1</f>
        <v>11</v>
      </c>
      <c r="AF40" s="1409">
        <f ca="1">OFFSET(AF40,0,-1)+1</f>
        <v>12</v>
      </c>
      <c r="AG40" s="2612">
        <f ca="1">OFFSET(AG40,0,-1)+1</f>
        <v>13</v>
      </c>
      <c r="AH40" s="2612"/>
      <c r="AI40" s="1409">
        <f ca="1">OFFSET(AI40,0,-2)+1</f>
        <v>14</v>
      </c>
      <c r="AJ40" s="1172">
        <f ca="1">OFFSET(AJ40,0,-1)</f>
        <v>14</v>
      </c>
      <c r="AK40" s="1409">
        <f ca="1">OFFSET(AK40,0,-1)+1</f>
        <v>15</v>
      </c>
      <c r="AL40" s="448"/>
      <c r="AM40" s="448"/>
      <c r="AN40" s="448"/>
      <c r="AO40" s="448"/>
      <c r="AP40" s="448"/>
      <c r="AQ40" s="433">
        <v>0</v>
      </c>
    </row>
    <row r="41" spans="1:43" ht="24" customHeight="1">
      <c r="A41" s="1290" t="s">
        <v>346</v>
      </c>
      <c r="B41" s="1290"/>
      <c r="C41" s="1290"/>
      <c r="D41" s="1290"/>
      <c r="E41" s="260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189</v>
      </c>
      <c r="U41" s="237"/>
      <c r="V41" s="2595"/>
      <c r="W41" s="2596"/>
      <c r="X41" s="2596"/>
      <c r="Y41" s="2596"/>
      <c r="Z41" s="2596"/>
      <c r="AA41" s="2596"/>
      <c r="AB41" s="2597"/>
      <c r="AC41" s="2595" t="str">
        <f>INDEX(PT_DIFFERENTIATION_NTAR,MATCH(A41,PT_DIFFERENTIATION_NTAR_ID,0))</f>
        <v/>
      </c>
      <c r="AD41" s="2596"/>
      <c r="AE41" s="2596"/>
      <c r="AF41" s="2596"/>
      <c r="AG41" s="2596"/>
      <c r="AH41" s="2596"/>
      <c r="AI41" s="2596"/>
      <c r="AJ41" s="259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346</v>
      </c>
      <c r="B42" s="1290" t="s">
        <v>347</v>
      </c>
      <c r="C42" s="1290"/>
      <c r="D42" s="1290"/>
      <c r="E42" s="2602"/>
      <c r="F42" s="2601">
        <v>1</v>
      </c>
      <c r="G42" s="1290"/>
      <c r="H42" s="1290"/>
      <c r="I42" s="1290"/>
      <c r="J42" s="1290"/>
      <c r="K42" s="1290"/>
      <c r="L42" s="1291"/>
      <c r="M42" s="1292"/>
      <c r="N42" s="1292"/>
      <c r="O42" s="1292"/>
      <c r="P42" s="1414"/>
      <c r="Q42" s="289"/>
      <c r="R42" s="290"/>
      <c r="S42" s="1420" t="str">
        <f>INDEX(PT_DIFFERENTIATION_NUM_TER,MATCH(B42,PT_DIFFERENTIATION_TER_ID,0))</f>
        <v>.</v>
      </c>
      <c r="T42" s="245" t="s">
        <v>477</v>
      </c>
      <c r="U42" s="237"/>
      <c r="V42" s="2595"/>
      <c r="W42" s="2596"/>
      <c r="X42" s="2596"/>
      <c r="Y42" s="2596"/>
      <c r="Z42" s="2596"/>
      <c r="AA42" s="2596"/>
      <c r="AB42" s="2597"/>
      <c r="AC42" s="2595" t="str">
        <f>INDEX(PT_DIFFERENTIATION_TER,MATCH(B42,PT_DIFFERENTIATION_TER_ID,0))</f>
        <v/>
      </c>
      <c r="AD42" s="2596"/>
      <c r="AE42" s="2596"/>
      <c r="AF42" s="2596"/>
      <c r="AG42" s="2596"/>
      <c r="AH42" s="2596"/>
      <c r="AI42" s="2596"/>
      <c r="AJ42" s="2597"/>
      <c r="AK42" s="1185" t="s">
        <v>478</v>
      </c>
      <c r="AM42" s="437"/>
      <c r="AN42" s="437" t="str">
        <f t="shared" si="1"/>
        <v>Территория действия тарифа</v>
      </c>
      <c r="AO42" s="437"/>
      <c r="AP42" s="437"/>
      <c r="AQ42" s="1082">
        <v>23</v>
      </c>
    </row>
    <row r="43" spans="1:43" ht="24" customHeight="1">
      <c r="A43" s="1290" t="s">
        <v>346</v>
      </c>
      <c r="B43" s="1290" t="s">
        <v>347</v>
      </c>
      <c r="C43" s="1290" t="s">
        <v>348</v>
      </c>
      <c r="D43" s="1290"/>
      <c r="E43" s="2602"/>
      <c r="F43" s="2602"/>
      <c r="G43" s="2601">
        <v>1</v>
      </c>
      <c r="H43" s="1290"/>
      <c r="I43" s="1290"/>
      <c r="J43" s="1290"/>
      <c r="K43" s="1290"/>
      <c r="L43" s="1291"/>
      <c r="M43" s="1292"/>
      <c r="N43" s="1292"/>
      <c r="O43" s="1292"/>
      <c r="P43" s="291"/>
      <c r="Q43" s="289"/>
      <c r="R43" s="290"/>
      <c r="S43" s="1420" t="str">
        <f>INDEX(PT_DIFFERENTIATION_NUM_CS,MATCH(C43,PT_DIFFERENTIATION_CS_ID,0))</f>
        <v>..</v>
      </c>
      <c r="T43" s="246" t="s">
        <v>595</v>
      </c>
      <c r="U43" s="237"/>
      <c r="V43" s="2595"/>
      <c r="W43" s="2596"/>
      <c r="X43" s="2596"/>
      <c r="Y43" s="2596"/>
      <c r="Z43" s="2596"/>
      <c r="AA43" s="2596"/>
      <c r="AB43" s="2597"/>
      <c r="AC43" s="2595" t="str">
        <f>INDEX(PT_DIFFERENTIATION_CS,MATCH(C43,PT_DIFFERENTIATION_CS_ID,0))</f>
        <v/>
      </c>
      <c r="AD43" s="2596"/>
      <c r="AE43" s="2596"/>
      <c r="AF43" s="2596"/>
      <c r="AG43" s="2596"/>
      <c r="AH43" s="2596"/>
      <c r="AI43" s="2596"/>
      <c r="AJ43" s="2597"/>
      <c r="AK43" s="1185" t="s">
        <v>596</v>
      </c>
      <c r="AM43" s="437"/>
      <c r="AN43" s="437" t="str">
        <f t="shared" si="1"/>
        <v>Наименование централизованной системы водоотведения</v>
      </c>
      <c r="AO43" s="437"/>
      <c r="AP43" s="437"/>
      <c r="AQ43" s="1082">
        <v>23</v>
      </c>
    </row>
    <row r="44" spans="1:43" ht="24" customHeight="1">
      <c r="A44" s="1290" t="s">
        <v>346</v>
      </c>
      <c r="B44" s="1290" t="s">
        <v>347</v>
      </c>
      <c r="C44" s="1290" t="s">
        <v>348</v>
      </c>
      <c r="D44" s="1290" t="s">
        <v>599</v>
      </c>
      <c r="E44" s="2602"/>
      <c r="F44" s="2602"/>
      <c r="G44" s="2602"/>
      <c r="H44" s="2602"/>
      <c r="I44" s="2603" t="str">
        <f>S43&amp;".1"</f>
        <v>...1</v>
      </c>
      <c r="J44" s="1290"/>
      <c r="K44" s="1290"/>
      <c r="L44" s="1291"/>
      <c r="P44" s="2605">
        <v>1</v>
      </c>
      <c r="Q44" s="1408"/>
      <c r="R44" s="293"/>
      <c r="S44" s="1420" t="str">
        <f>$I44</f>
        <v>...1</v>
      </c>
      <c r="T44" s="222" t="s">
        <v>560</v>
      </c>
      <c r="U44" s="237"/>
      <c r="V44" s="2669"/>
      <c r="W44" s="2670"/>
      <c r="X44" s="2670"/>
      <c r="Y44" s="2670"/>
      <c r="Z44" s="2670"/>
      <c r="AA44" s="2670"/>
      <c r="AB44" s="2671"/>
      <c r="AC44" s="2672"/>
      <c r="AD44" s="2673"/>
      <c r="AE44" s="2673"/>
      <c r="AF44" s="2673"/>
      <c r="AG44" s="2673"/>
      <c r="AH44" s="2673"/>
      <c r="AI44" s="2673"/>
      <c r="AJ44" s="2674"/>
      <c r="AK44" s="1185" t="s">
        <v>561</v>
      </c>
      <c r="AM44" s="437"/>
      <c r="AN44" s="437" t="str">
        <f t="shared" si="1"/>
        <v>Наименование признака дифференциации</v>
      </c>
      <c r="AO44" s="437"/>
      <c r="AP44" s="437"/>
      <c r="AQ44" s="1082">
        <v>23</v>
      </c>
    </row>
    <row r="45" spans="1:43" ht="24" customHeight="1">
      <c r="A45" s="1290" t="s">
        <v>346</v>
      </c>
      <c r="B45" s="1290" t="s">
        <v>347</v>
      </c>
      <c r="C45" s="1290" t="s">
        <v>348</v>
      </c>
      <c r="D45" s="1290" t="s">
        <v>599</v>
      </c>
      <c r="E45" s="2602"/>
      <c r="F45" s="2602"/>
      <c r="G45" s="2602"/>
      <c r="H45" s="2602"/>
      <c r="I45" s="2604"/>
      <c r="J45" s="2603" t="str">
        <f>I44&amp;".1"</f>
        <v>...1.1</v>
      </c>
      <c r="K45" s="1290"/>
      <c r="L45" s="1291" t="s">
        <v>486</v>
      </c>
      <c r="P45" s="2605"/>
      <c r="Q45" s="2605">
        <v>1</v>
      </c>
      <c r="R45" s="294"/>
      <c r="S45" s="1420" t="str">
        <f>$J45</f>
        <v>...1.1</v>
      </c>
      <c r="T45" s="223" t="s">
        <v>487</v>
      </c>
      <c r="U45" s="237"/>
      <c r="V45" s="2589"/>
      <c r="W45" s="2590"/>
      <c r="X45" s="2590"/>
      <c r="Y45" s="2590"/>
      <c r="Z45" s="2590"/>
      <c r="AA45" s="2590"/>
      <c r="AB45" s="2591"/>
      <c r="AC45" s="2589"/>
      <c r="AD45" s="2590"/>
      <c r="AE45" s="2590"/>
      <c r="AF45" s="2590"/>
      <c r="AG45" s="2590"/>
      <c r="AH45" s="2590"/>
      <c r="AI45" s="2590"/>
      <c r="AJ45" s="2591"/>
      <c r="AK45" s="1234" t="s">
        <v>562</v>
      </c>
      <c r="AM45" s="437"/>
      <c r="AN45" s="437" t="str">
        <f t="shared" si="1"/>
        <v>Группа потребителей</v>
      </c>
      <c r="AO45" s="437"/>
      <c r="AP45" s="437"/>
      <c r="AQ45" s="1082">
        <v>23</v>
      </c>
    </row>
    <row r="46" spans="1:43" ht="24" customHeight="1">
      <c r="A46" s="1290" t="s">
        <v>346</v>
      </c>
      <c r="B46" s="1290" t="s">
        <v>347</v>
      </c>
      <c r="C46" s="1290" t="s">
        <v>348</v>
      </c>
      <c r="D46" s="1290" t="s">
        <v>599</v>
      </c>
      <c r="E46" s="2602"/>
      <c r="F46" s="2602"/>
      <c r="G46" s="2602"/>
      <c r="H46" s="2602"/>
      <c r="I46" s="2604"/>
      <c r="J46" s="2604"/>
      <c r="K46" s="2603" t="str">
        <f>J45&amp;".1"</f>
        <v>...1.1.1</v>
      </c>
      <c r="L46" s="1291"/>
      <c r="P46" s="2605"/>
      <c r="Q46" s="2605"/>
      <c r="R46" s="294">
        <v>1</v>
      </c>
      <c r="S46" s="1420" t="str">
        <f>$K46</f>
        <v>...1.1.1</v>
      </c>
      <c r="T46" s="1364"/>
      <c r="U46" s="237"/>
      <c r="V46" s="1287"/>
      <c r="W46" s="1287"/>
      <c r="X46" s="1288"/>
      <c r="Y46" s="2599"/>
      <c r="Z46" s="2598" t="s">
        <v>66</v>
      </c>
      <c r="AA46" s="2599"/>
      <c r="AB46" s="2598" t="s">
        <v>66</v>
      </c>
      <c r="AC46" s="688"/>
      <c r="AD46" s="688"/>
      <c r="AE46" s="1184"/>
      <c r="AF46" s="2606"/>
      <c r="AG46" s="2471" t="s">
        <v>66</v>
      </c>
      <c r="AH46" s="2608"/>
      <c r="AI46" s="2471" t="s">
        <v>19</v>
      </c>
      <c r="AJ46" s="1365"/>
      <c r="AK4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346</v>
      </c>
      <c r="B47" s="1290" t="s">
        <v>347</v>
      </c>
      <c r="C47" s="1290" t="s">
        <v>348</v>
      </c>
      <c r="D47" s="1290" t="s">
        <v>599</v>
      </c>
      <c r="E47" s="2602"/>
      <c r="F47" s="2602"/>
      <c r="G47" s="2602"/>
      <c r="H47" s="2602"/>
      <c r="I47" s="2604"/>
      <c r="J47" s="2604"/>
      <c r="K47" s="2603"/>
      <c r="L47" s="1291"/>
      <c r="P47" s="2605"/>
      <c r="Q47" s="2605"/>
      <c r="R47" s="294"/>
      <c r="S47" s="1417"/>
      <c r="T47" s="237"/>
      <c r="U47" s="237"/>
      <c r="V47" s="1287"/>
      <c r="W47" s="1287"/>
      <c r="X47" s="265" t="str">
        <f>Y46&amp;"-"&amp;AA46</f>
        <v>-</v>
      </c>
      <c r="Y47" s="2598"/>
      <c r="Z47" s="2598"/>
      <c r="AA47" s="2598"/>
      <c r="AB47" s="2598"/>
      <c r="AC47" s="262"/>
      <c r="AD47" s="262"/>
      <c r="AE47" s="265" t="str">
        <f>AF46&amp;"-"&amp;AH46</f>
        <v>-</v>
      </c>
      <c r="AF47" s="2607"/>
      <c r="AG47" s="2471"/>
      <c r="AH47" s="2609"/>
      <c r="AI47" s="2471"/>
      <c r="AJ47" s="1366"/>
      <c r="AK47" s="2675"/>
      <c r="AM47" s="437"/>
      <c r="AN47" s="437" t="str">
        <f t="shared" si="1"/>
        <v/>
      </c>
      <c r="AO47" s="437"/>
      <c r="AP47" s="437"/>
      <c r="AQ47" s="1082">
        <v>0</v>
      </c>
    </row>
    <row r="48" spans="1:43" ht="21" customHeight="1">
      <c r="A48" s="1290" t="s">
        <v>346</v>
      </c>
      <c r="B48" s="1290" t="s">
        <v>347</v>
      </c>
      <c r="C48" s="1290" t="s">
        <v>348</v>
      </c>
      <c r="D48" s="1290" t="s">
        <v>599</v>
      </c>
      <c r="E48" s="2602"/>
      <c r="F48" s="2602"/>
      <c r="G48" s="2602"/>
      <c r="H48" s="2602"/>
      <c r="I48" s="2604"/>
      <c r="J48" s="2603"/>
      <c r="K48" s="1290"/>
      <c r="L48" s="1291"/>
      <c r="P48" s="2605"/>
      <c r="Q48" s="2605"/>
      <c r="R48" s="293"/>
      <c r="S48" s="1205"/>
      <c r="T48" s="224" t="s">
        <v>563</v>
      </c>
      <c r="U48" s="304"/>
      <c r="V48" s="304"/>
      <c r="W48" s="304"/>
      <c r="X48" s="304"/>
      <c r="Y48" s="304"/>
      <c r="Z48" s="304"/>
      <c r="AA48" s="304"/>
      <c r="AB48" s="304"/>
      <c r="AC48" s="304"/>
      <c r="AD48" s="304"/>
      <c r="AE48" s="304"/>
      <c r="AF48" s="304"/>
      <c r="AG48" s="304"/>
      <c r="AH48" s="304"/>
      <c r="AI48" s="304"/>
      <c r="AJ48" s="304"/>
      <c r="AK48" s="1185" t="s">
        <v>564</v>
      </c>
      <c r="AM48" s="437"/>
      <c r="AN48" s="437" t="str">
        <f t="shared" si="1"/>
        <v>Добавить значение признака дифференциации</v>
      </c>
      <c r="AO48" s="437"/>
      <c r="AP48" s="437"/>
      <c r="AQ48" s="1082">
        <v>20</v>
      </c>
    </row>
    <row r="49" spans="1:43" ht="21.95" customHeight="1">
      <c r="A49" s="1290" t="s">
        <v>346</v>
      </c>
      <c r="B49" s="1290" t="s">
        <v>347</v>
      </c>
      <c r="C49" s="1290" t="s">
        <v>348</v>
      </c>
      <c r="D49" s="1290" t="s">
        <v>599</v>
      </c>
      <c r="E49" s="2602"/>
      <c r="F49" s="2602"/>
      <c r="G49" s="2602"/>
      <c r="H49" s="2602"/>
      <c r="I49" s="2603"/>
      <c r="J49" s="1290"/>
      <c r="K49" s="1290"/>
      <c r="L49" s="1291"/>
      <c r="P49" s="2605"/>
      <c r="Q49" s="1408"/>
      <c r="R49" s="293"/>
      <c r="S49" s="1205"/>
      <c r="T49" s="302" t="s">
        <v>492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346</v>
      </c>
      <c r="B50" s="1290" t="s">
        <v>347</v>
      </c>
      <c r="C50" s="1290" t="s">
        <v>348</v>
      </c>
      <c r="D50" s="1290" t="s">
        <v>599</v>
      </c>
      <c r="E50" s="2602"/>
      <c r="F50" s="2602"/>
      <c r="G50" s="2602"/>
      <c r="H50" s="2601"/>
      <c r="I50" s="1290"/>
      <c r="J50" s="1290"/>
      <c r="K50" s="1290"/>
      <c r="L50" s="1291"/>
      <c r="M50" s="1292"/>
      <c r="N50" s="1292"/>
      <c r="O50" s="474"/>
      <c r="P50" s="297"/>
      <c r="Q50" s="312"/>
      <c r="R50" s="292"/>
      <c r="S50" s="1205"/>
      <c r="T50" s="309" t="s">
        <v>565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346</v>
      </c>
      <c r="B51" s="1270" t="s">
        <v>347</v>
      </c>
      <c r="C51" s="1241"/>
      <c r="D51" s="1241"/>
      <c r="E51" s="2602"/>
      <c r="F51" s="2601"/>
      <c r="G51" s="1241"/>
      <c r="H51" s="1241"/>
      <c r="I51" s="1241"/>
      <c r="J51" s="1241"/>
      <c r="K51" s="1241"/>
      <c r="L51" s="1421"/>
      <c r="M51" s="1248"/>
      <c r="N51" s="1248"/>
      <c r="P51" s="1243"/>
      <c r="Q51" s="1244"/>
      <c r="R51" s="1243"/>
      <c r="S51" s="1249"/>
      <c r="T51" s="1252" t="s">
        <v>295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346</v>
      </c>
      <c r="B52" s="1270"/>
      <c r="C52" s="1270"/>
      <c r="D52" s="1270"/>
      <c r="E52" s="2601"/>
      <c r="F52" s="1270"/>
      <c r="G52" s="1270"/>
      <c r="H52" s="1270"/>
      <c r="I52" s="1270"/>
      <c r="J52" s="1270"/>
      <c r="K52" s="1270"/>
      <c r="L52" s="1273"/>
      <c r="M52" s="1248"/>
      <c r="N52" s="1248"/>
      <c r="O52" s="455"/>
      <c r="P52" s="317"/>
      <c r="Q52" s="1271"/>
      <c r="R52" s="317"/>
      <c r="S52" s="1249"/>
      <c r="T52" s="1252" t="s">
        <v>299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300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00"/>
      <c r="U55" s="2600"/>
      <c r="V55" s="2600"/>
      <c r="W55" s="2600"/>
      <c r="X55" s="2600"/>
      <c r="Y55" s="2600"/>
      <c r="Z55" s="2600"/>
      <c r="AA55" s="2600"/>
      <c r="AB55" s="2600"/>
      <c r="AC55" s="2600"/>
      <c r="AD55" s="2600"/>
      <c r="AE55" s="2600"/>
      <c r="AF55" s="2600"/>
      <c r="AG55" s="2600"/>
      <c r="AH55" s="2600"/>
      <c r="AI55" s="2600"/>
      <c r="AJ55" s="2600"/>
      <c r="AK55" s="2600"/>
      <c r="AQ55" s="1082">
        <v>14</v>
      </c>
    </row>
    <row r="56" spans="1:43" ht="14.65" customHeight="1">
      <c r="O56" s="474"/>
      <c r="AQ56" s="1082">
        <v>14</v>
      </c>
    </row>
    <row r="57" spans="1:43" ht="14.65" customHeight="1">
      <c r="O57" s="474"/>
      <c r="S57" s="1180"/>
      <c r="T57" s="2600"/>
      <c r="U57" s="2600"/>
      <c r="V57" s="2600"/>
      <c r="W57" s="2600"/>
      <c r="X57" s="2600"/>
      <c r="Y57" s="2600"/>
      <c r="Z57" s="2600"/>
      <c r="AA57" s="2600"/>
      <c r="AB57" s="2600"/>
      <c r="AC57" s="2600"/>
      <c r="AD57" s="2600"/>
      <c r="AE57" s="2600"/>
      <c r="AF57" s="2600"/>
      <c r="AG57" s="2600"/>
      <c r="AH57" s="2600"/>
      <c r="AI57" s="2600"/>
      <c r="AJ57" s="2600"/>
      <c r="AK57" s="260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601">
        <v>1</v>
      </c>
      <c r="F2" s="1290"/>
      <c r="G2" s="1290"/>
      <c r="H2" s="1290"/>
      <c r="I2" s="1290"/>
      <c r="J2" s="1290"/>
      <c r="K2" s="1290"/>
      <c r="L2" s="1291"/>
      <c r="M2" s="1292"/>
      <c r="N2" s="1292"/>
      <c r="O2" s="1292"/>
      <c r="P2" s="298"/>
      <c r="Q2" s="297"/>
      <c r="R2" s="292"/>
      <c r="S2" s="1420" t="e">
        <f>INDEX(PT_DIFFERENTIATION_NUM_NTAR,MATCH(A2,PT_DIFFERENTIATION_NTAR_ID,0))</f>
        <v>#N/A</v>
      </c>
      <c r="T2" s="235" t="s">
        <v>189</v>
      </c>
      <c r="U2" s="237"/>
      <c r="V2" s="2595"/>
      <c r="W2" s="2596"/>
      <c r="X2" s="2596"/>
      <c r="Y2" s="2596"/>
      <c r="Z2" s="2596"/>
      <c r="AA2" s="2596"/>
      <c r="AB2" s="2597"/>
      <c r="AC2" s="2595" t="e">
        <f>INDEX(PT_DIFFERENTIATION_NTAR,MATCH(A2,PT_DIFFERENTIATION_NTAR_ID,0))</f>
        <v>#N/A</v>
      </c>
      <c r="AD2" s="2596"/>
      <c r="AE2" s="2596"/>
      <c r="AF2" s="2596"/>
      <c r="AG2" s="2596"/>
      <c r="AH2" s="2596"/>
      <c r="AI2" s="2596"/>
      <c r="AJ2" s="259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602"/>
      <c r="F3" s="2601">
        <v>1</v>
      </c>
      <c r="G3" s="1290"/>
      <c r="H3" s="1290"/>
      <c r="I3" s="1290"/>
      <c r="J3" s="1290"/>
      <c r="K3" s="1290"/>
      <c r="L3" s="1291"/>
      <c r="M3" s="1292"/>
      <c r="N3" s="1292"/>
      <c r="O3" s="1292"/>
      <c r="P3" s="1414"/>
      <c r="Q3" s="289"/>
      <c r="R3" s="290"/>
      <c r="S3" s="1420" t="e">
        <f>INDEX(PT_DIFFERENTIATION_NUM_TER,MATCH(B3,PT_DIFFERENTIATION_TER_ID,0))</f>
        <v>#N/A</v>
      </c>
      <c r="T3" s="245" t="s">
        <v>477</v>
      </c>
      <c r="U3" s="237"/>
      <c r="V3" s="2595"/>
      <c r="W3" s="2596"/>
      <c r="X3" s="2596"/>
      <c r="Y3" s="2596"/>
      <c r="Z3" s="2596"/>
      <c r="AA3" s="2596"/>
      <c r="AB3" s="2597"/>
      <c r="AC3" s="2595" t="e">
        <f>INDEX(PT_DIFFERENTIATION_TER,MATCH(B3,PT_DIFFERENTIATION_TER_ID,0))</f>
        <v>#N/A</v>
      </c>
      <c r="AD3" s="2596"/>
      <c r="AE3" s="2596"/>
      <c r="AF3" s="2596"/>
      <c r="AG3" s="2596"/>
      <c r="AH3" s="2596"/>
      <c r="AI3" s="2596"/>
      <c r="AJ3" s="2597"/>
      <c r="AK3" s="1185" t="s">
        <v>478</v>
      </c>
      <c r="AM3" s="437"/>
      <c r="AN3" s="437" t="str">
        <f t="shared" si="0"/>
        <v>Территория действия тарифа</v>
      </c>
      <c r="AO3" s="437"/>
      <c r="AP3" s="437"/>
      <c r="AQ3" s="1082">
        <v>0</v>
      </c>
    </row>
    <row r="4" spans="1:43" ht="23.25" hidden="1" customHeight="1">
      <c r="A4" s="1290"/>
      <c r="B4" s="1290"/>
      <c r="C4" s="1290"/>
      <c r="D4" s="1290"/>
      <c r="E4" s="2602"/>
      <c r="F4" s="2602"/>
      <c r="G4" s="2601">
        <v>1</v>
      </c>
      <c r="H4" s="1290"/>
      <c r="I4" s="1290"/>
      <c r="J4" s="1290"/>
      <c r="K4" s="1290"/>
      <c r="L4" s="1291"/>
      <c r="M4" s="1292"/>
      <c r="N4" s="1292"/>
      <c r="O4" s="1292"/>
      <c r="P4" s="291"/>
      <c r="Q4" s="289"/>
      <c r="R4" s="290"/>
      <c r="S4" s="1420" t="e">
        <f>INDEX(PT_DIFFERENTIATION_NUM_CS,MATCH(C4,PT_DIFFERENTIATION_CS_ID,0))</f>
        <v>#N/A</v>
      </c>
      <c r="T4" s="246" t="s">
        <v>595</v>
      </c>
      <c r="U4" s="237"/>
      <c r="V4" s="2595"/>
      <c r="W4" s="2596"/>
      <c r="X4" s="2596"/>
      <c r="Y4" s="2596"/>
      <c r="Z4" s="2596"/>
      <c r="AA4" s="2596"/>
      <c r="AB4" s="2597"/>
      <c r="AC4" s="2595" t="e">
        <f>INDEX(PT_DIFFERENTIATION_CS,MATCH(C4,PT_DIFFERENTIATION_CS_ID,0))</f>
        <v>#N/A</v>
      </c>
      <c r="AD4" s="2596"/>
      <c r="AE4" s="2596"/>
      <c r="AF4" s="2596"/>
      <c r="AG4" s="2596"/>
      <c r="AH4" s="2596"/>
      <c r="AI4" s="2596"/>
      <c r="AJ4" s="2597"/>
      <c r="AK4" s="1185" t="s">
        <v>596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602"/>
      <c r="F5" s="2602"/>
      <c r="G5" s="2602"/>
      <c r="H5" s="2602"/>
      <c r="I5" s="2603" t="e">
        <f>S4&amp;".1"</f>
        <v>#N/A</v>
      </c>
      <c r="J5" s="1290"/>
      <c r="K5" s="1290"/>
      <c r="L5" s="1291"/>
      <c r="P5" s="2605">
        <v>1</v>
      </c>
      <c r="Q5" s="1408"/>
      <c r="R5" s="293"/>
      <c r="S5" s="1420" t="e">
        <f>$I5</f>
        <v>#N/A</v>
      </c>
      <c r="T5" s="222" t="s">
        <v>560</v>
      </c>
      <c r="U5" s="237"/>
      <c r="V5" s="2669"/>
      <c r="W5" s="2670"/>
      <c r="X5" s="2670"/>
      <c r="Y5" s="2670"/>
      <c r="Z5" s="2670"/>
      <c r="AA5" s="2670"/>
      <c r="AB5" s="2671"/>
      <c r="AC5" s="2672"/>
      <c r="AD5" s="2673"/>
      <c r="AE5" s="2673"/>
      <c r="AF5" s="2673"/>
      <c r="AG5" s="2673"/>
      <c r="AH5" s="2673"/>
      <c r="AI5" s="2673"/>
      <c r="AJ5" s="2674"/>
      <c r="AK5" s="1185" t="s">
        <v>561</v>
      </c>
      <c r="AM5" s="437"/>
      <c r="AN5" s="437" t="str">
        <f t="shared" si="0"/>
        <v>Наименование признака дифференциации</v>
      </c>
      <c r="AO5" s="437"/>
      <c r="AP5" s="437"/>
      <c r="AQ5" s="1082">
        <v>0</v>
      </c>
    </row>
    <row r="6" spans="1:43" ht="23.25" hidden="1" customHeight="1">
      <c r="A6" s="1290"/>
      <c r="B6" s="1290"/>
      <c r="C6" s="1290"/>
      <c r="D6" s="1290"/>
      <c r="E6" s="2602"/>
      <c r="F6" s="2602"/>
      <c r="G6" s="2602"/>
      <c r="H6" s="2602"/>
      <c r="I6" s="2604"/>
      <c r="J6" s="2603" t="e">
        <f>I5&amp;".1"</f>
        <v>#N/A</v>
      </c>
      <c r="K6" s="1290"/>
      <c r="L6" s="1291" t="s">
        <v>486</v>
      </c>
      <c r="P6" s="2605"/>
      <c r="Q6" s="2605">
        <v>1</v>
      </c>
      <c r="R6" s="294"/>
      <c r="S6" s="1420" t="e">
        <f>$J6</f>
        <v>#N/A</v>
      </c>
      <c r="T6" s="223" t="s">
        <v>487</v>
      </c>
      <c r="U6" s="237"/>
      <c r="V6" s="2589"/>
      <c r="W6" s="2590"/>
      <c r="X6" s="2590"/>
      <c r="Y6" s="2590"/>
      <c r="Z6" s="2590"/>
      <c r="AA6" s="2590"/>
      <c r="AB6" s="2591"/>
      <c r="AC6" s="2589"/>
      <c r="AD6" s="2590"/>
      <c r="AE6" s="2590"/>
      <c r="AF6" s="2590"/>
      <c r="AG6" s="2590"/>
      <c r="AH6" s="2590"/>
      <c r="AI6" s="2590"/>
      <c r="AJ6" s="2591"/>
      <c r="AK6" s="1234" t="s">
        <v>562</v>
      </c>
      <c r="AM6" s="437"/>
      <c r="AN6" s="437" t="str">
        <f t="shared" si="0"/>
        <v>Группа потребителей</v>
      </c>
      <c r="AO6" s="437"/>
      <c r="AP6" s="437"/>
      <c r="AQ6" s="1082">
        <v>0</v>
      </c>
    </row>
    <row r="7" spans="1:43" ht="23.25" hidden="1" customHeight="1">
      <c r="A7" s="1290"/>
      <c r="B7" s="1290"/>
      <c r="C7" s="1290"/>
      <c r="D7" s="1290"/>
      <c r="E7" s="2602"/>
      <c r="F7" s="2602"/>
      <c r="G7" s="2602"/>
      <c r="H7" s="2602"/>
      <c r="I7" s="2604"/>
      <c r="J7" s="2604"/>
      <c r="K7" s="2603" t="e">
        <f>J6&amp;".1"</f>
        <v>#N/A</v>
      </c>
      <c r="L7" s="1291"/>
      <c r="P7" s="2605"/>
      <c r="Q7" s="2605"/>
      <c r="R7" s="294">
        <v>1</v>
      </c>
      <c r="S7" s="1420" t="e">
        <f>$K7</f>
        <v>#N/A</v>
      </c>
      <c r="T7" s="1364"/>
      <c r="U7" s="237"/>
      <c r="V7" s="688"/>
      <c r="W7" s="688"/>
      <c r="X7" s="1184"/>
      <c r="Y7" s="2606"/>
      <c r="Z7" s="2471" t="s">
        <v>66</v>
      </c>
      <c r="AA7" s="2606"/>
      <c r="AB7" s="2471" t="s">
        <v>66</v>
      </c>
      <c r="AC7" s="688"/>
      <c r="AD7" s="688"/>
      <c r="AE7" s="1184"/>
      <c r="AF7" s="2606"/>
      <c r="AG7" s="2471" t="s">
        <v>66</v>
      </c>
      <c r="AH7" s="2608"/>
      <c r="AI7" s="2471" t="s">
        <v>66</v>
      </c>
      <c r="AJ7" s="1365"/>
      <c r="AK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602"/>
      <c r="F8" s="2602"/>
      <c r="G8" s="2602"/>
      <c r="H8" s="2602"/>
      <c r="I8" s="2604"/>
      <c r="J8" s="2604"/>
      <c r="K8" s="2603"/>
      <c r="L8" s="1291"/>
      <c r="P8" s="2605"/>
      <c r="Q8" s="2605"/>
      <c r="R8" s="294"/>
      <c r="S8" s="1417"/>
      <c r="T8" s="237"/>
      <c r="U8" s="237"/>
      <c r="V8" s="262"/>
      <c r="W8" s="262"/>
      <c r="X8" s="265" t="str">
        <f>Y7&amp;"-"&amp;AA7</f>
        <v>-</v>
      </c>
      <c r="Y8" s="2607"/>
      <c r="Z8" s="2471"/>
      <c r="AA8" s="2607"/>
      <c r="AB8" s="2471"/>
      <c r="AC8" s="262"/>
      <c r="AD8" s="262"/>
      <c r="AE8" s="265" t="str">
        <f>AF7&amp;"-"&amp;AH7</f>
        <v>-</v>
      </c>
      <c r="AF8" s="2607"/>
      <c r="AG8" s="2471"/>
      <c r="AH8" s="2609"/>
      <c r="AI8" s="2471"/>
      <c r="AJ8" s="1366"/>
      <c r="AK8" s="2675"/>
      <c r="AM8" s="437"/>
      <c r="AN8" s="437" t="str">
        <f t="shared" si="0"/>
        <v/>
      </c>
      <c r="AO8" s="437"/>
      <c r="AP8" s="437"/>
      <c r="AQ8" s="1082">
        <v>0</v>
      </c>
    </row>
    <row r="9" spans="1:43" ht="21" hidden="1" customHeight="1">
      <c r="A9" s="1290"/>
      <c r="B9" s="1290"/>
      <c r="C9" s="1290"/>
      <c r="D9" s="1290"/>
      <c r="E9" s="2602"/>
      <c r="F9" s="2602"/>
      <c r="G9" s="2602"/>
      <c r="H9" s="2602"/>
      <c r="I9" s="2604"/>
      <c r="J9" s="2603"/>
      <c r="K9" s="1290"/>
      <c r="L9" s="1291"/>
      <c r="P9" s="2605"/>
      <c r="Q9" s="2605"/>
      <c r="R9" s="293"/>
      <c r="S9" s="1205"/>
      <c r="T9" s="224" t="s">
        <v>563</v>
      </c>
      <c r="U9" s="304"/>
      <c r="V9" s="304"/>
      <c r="W9" s="304"/>
      <c r="X9" s="304"/>
      <c r="Y9" s="304"/>
      <c r="Z9" s="304"/>
      <c r="AA9" s="304"/>
      <c r="AB9" s="304"/>
      <c r="AC9" s="304"/>
      <c r="AD9" s="304"/>
      <c r="AE9" s="304"/>
      <c r="AF9" s="304"/>
      <c r="AG9" s="304"/>
      <c r="AH9" s="304"/>
      <c r="AI9" s="304"/>
      <c r="AJ9" s="304"/>
      <c r="AK9" s="1185" t="s">
        <v>564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602"/>
      <c r="F10" s="2602"/>
      <c r="G10" s="2602"/>
      <c r="H10" s="2602"/>
      <c r="I10" s="2603"/>
      <c r="J10" s="1290"/>
      <c r="K10" s="1290"/>
      <c r="L10" s="1291"/>
      <c r="P10" s="2605"/>
      <c r="Q10" s="1408"/>
      <c r="R10" s="293"/>
      <c r="S10" s="1205"/>
      <c r="T10" s="302" t="s">
        <v>492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602"/>
      <c r="F12" s="2601"/>
      <c r="G12" s="1241"/>
      <c r="H12" s="1241"/>
      <c r="I12" s="1241"/>
      <c r="J12" s="1241"/>
      <c r="K12" s="1241"/>
      <c r="L12" s="1421"/>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99"/>
      <c r="AG15" s="2598" t="s">
        <v>66</v>
      </c>
      <c r="AH15" s="2599"/>
      <c r="AI15" s="2598" t="s">
        <v>66</v>
      </c>
      <c r="AQ15" s="1082">
        <v>0</v>
      </c>
    </row>
    <row r="16" spans="1:43" ht="14.25" hidden="1" customHeight="1">
      <c r="AC16" s="1287"/>
      <c r="AD16" s="1287"/>
      <c r="AE16" s="265" t="str">
        <f>AF15&amp;"-"&amp;AH15</f>
        <v>-</v>
      </c>
      <c r="AF16" s="2598"/>
      <c r="AG16" s="2598"/>
      <c r="AH16" s="2598"/>
      <c r="AI16" s="2598"/>
      <c r="AQ16" s="1082">
        <v>0</v>
      </c>
    </row>
    <row r="17" spans="1:43" ht="14.25" hidden="1" customHeight="1">
      <c r="AI17" s="264"/>
      <c r="AQ17" s="1082">
        <v>0</v>
      </c>
    </row>
    <row r="18" spans="1:43" s="1293" customFormat="1" ht="22.5" hidden="1" customHeight="1">
      <c r="L18" s="1405"/>
      <c r="M18" s="1289"/>
      <c r="N18" s="1289"/>
      <c r="O18" s="1294" t="s">
        <v>495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496</v>
      </c>
      <c r="P20" s="1289"/>
      <c r="Q20" s="1369"/>
      <c r="R20" s="1369"/>
      <c r="S20" s="666"/>
      <c r="T20" s="1087" t="s">
        <v>497</v>
      </c>
      <c r="Z20" s="123" t="s">
        <v>498</v>
      </c>
      <c r="AB20" s="123" t="s">
        <v>499</v>
      </c>
      <c r="AC20" s="1087" t="s">
        <v>497</v>
      </c>
      <c r="AG20" s="123" t="s">
        <v>500</v>
      </c>
      <c r="AI20" s="123" t="s">
        <v>499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8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82"/>
      <c r="U24" s="2582"/>
      <c r="V24" s="2582"/>
      <c r="W24" s="2582"/>
      <c r="X24" s="2582"/>
      <c r="Y24" s="2582"/>
      <c r="Z24" s="2582"/>
      <c r="AA24" s="2582"/>
      <c r="AB24" s="2582"/>
      <c r="AC24" s="2582"/>
      <c r="AD24" s="2582"/>
      <c r="AE24" s="2582"/>
      <c r="AF24" s="2582"/>
      <c r="AG24" s="2582"/>
      <c r="AH24" s="2582"/>
      <c r="AI24" s="1170"/>
      <c r="AQ24" s="1082">
        <v>14</v>
      </c>
    </row>
    <row r="25" spans="1:43"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63"/>
      <c r="AC27" s="2594" t="str">
        <f>IF(TITLE_NAME_OR_PR_CHANGE="",IF(TITLE_NAME_OR_PR="","",TITLE_NAME_OR_PR),TITLE_NAME_OR_PR_CHANGE)</f>
        <v>Региональная служба по тарифам Ростовской области</v>
      </c>
      <c r="AD27" s="2594"/>
      <c r="AE27" s="2594"/>
      <c r="AF27" s="2594"/>
      <c r="AG27" s="2594"/>
      <c r="AH27" s="2594"/>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63"/>
      <c r="AC28" s="2593">
        <f>IF(TITLE_DATE_PR_CHANGE="",IF(TITLE_DATE_PR="","",TITLE_DATE_PR),TITLE_DATE_PR_CHANGE)</f>
        <v>45596.468541666669</v>
      </c>
      <c r="AD28" s="2593"/>
      <c r="AE28" s="2593"/>
      <c r="AF28" s="2593"/>
      <c r="AG28" s="2593"/>
      <c r="AH28" s="2593"/>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63"/>
      <c r="AC29" s="2594" t="str">
        <f>IF(TITLE_NUMBER_PR_CHANGE="",IF(TITLE_NUMBER_PR="","",TITLE_NUMBER_PR),TITLE_NUMBER_PR_CHANGE)</f>
        <v>440,503</v>
      </c>
      <c r="AD29" s="2594"/>
      <c r="AE29" s="2594"/>
      <c r="AF29" s="2594"/>
      <c r="AG29" s="2594"/>
      <c r="AH29" s="2594"/>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63"/>
      <c r="AC30" s="2594" t="str">
        <f>IF(TITLE_IST_PUB_CHANGE="",IF(TITLE_IST_PUB="","",TITLE_IST_PUB),TITLE_IST_PUB_CHANGE)</f>
        <v>Региональная служба по тарифам Ростовской области</v>
      </c>
      <c r="AD30" s="2594"/>
      <c r="AE30" s="2594"/>
      <c r="AF30" s="2594"/>
      <c r="AG30" s="2594"/>
      <c r="AH30" s="259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63"/>
      <c r="AC32" s="2593">
        <f>IF(TITLE_DATE_PR_CHANGE="",IF(TITLE_DATE_PR="","",TITLE_DATE_PR),TITLE_DATE_PR_CHANGE)</f>
        <v>45596.468541666669</v>
      </c>
      <c r="AD32" s="2593"/>
      <c r="AE32" s="2593"/>
      <c r="AF32" s="2593"/>
      <c r="AG32" s="2593"/>
      <c r="AH32" s="259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63"/>
      <c r="AC33" s="2594" t="str">
        <f>IF(TITLE_NUMBER_PR_CHANGE="",IF(TITLE_NUMBER_PR="","",TITLE_NUMBER_PR),TITLE_NUMBER_PR_CHANGE)</f>
        <v>440,503</v>
      </c>
      <c r="AD33" s="2594"/>
      <c r="AE33" s="2594"/>
      <c r="AF33" s="2594"/>
      <c r="AG33" s="2594"/>
      <c r="AH33" s="259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505</v>
      </c>
      <c r="AC34" s="263"/>
      <c r="AD34" s="263"/>
      <c r="AE34" s="263"/>
      <c r="AF34" s="263"/>
      <c r="AG34" s="263"/>
      <c r="AH34" s="263"/>
      <c r="AI34" s="215" t="s">
        <v>505</v>
      </c>
      <c r="AL34" s="305"/>
      <c r="AM34" s="305"/>
      <c r="AN34" s="305"/>
      <c r="AO34" s="305"/>
      <c r="AP34" s="305"/>
      <c r="AQ34" s="355">
        <v>1</v>
      </c>
    </row>
    <row r="35" spans="1:43" ht="14.65" customHeight="1">
      <c r="Q35" s="313"/>
      <c r="R35" s="313"/>
      <c r="S35" s="1202"/>
      <c r="T35" s="300"/>
      <c r="U35" s="1171"/>
      <c r="V35" s="2613"/>
      <c r="W35" s="2613"/>
      <c r="X35" s="2613"/>
      <c r="Y35" s="2613"/>
      <c r="Z35" s="2613"/>
      <c r="AA35" s="2613"/>
      <c r="AB35" s="2613"/>
      <c r="AC35" s="2613"/>
      <c r="AD35" s="2613"/>
      <c r="AE35" s="2613"/>
      <c r="AF35" s="2613"/>
      <c r="AG35" s="2613"/>
      <c r="AH35" s="2613"/>
      <c r="AI35" s="2613"/>
      <c r="AQ35" s="1082">
        <v>14</v>
      </c>
    </row>
    <row r="36" spans="1:43"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c r="AK36" s="2461" t="s">
        <v>381</v>
      </c>
      <c r="AQ36" s="1082">
        <v>14</v>
      </c>
    </row>
    <row r="37" spans="1:43" ht="14.65" customHeight="1">
      <c r="Q37" s="313"/>
      <c r="R37" s="313"/>
      <c r="S37" s="2614" t="s">
        <v>88</v>
      </c>
      <c r="T37" s="2563" t="s">
        <v>506</v>
      </c>
      <c r="U37" s="238"/>
      <c r="V37" s="2615" t="s">
        <v>507</v>
      </c>
      <c r="W37" s="2616"/>
      <c r="X37" s="2616"/>
      <c r="Y37" s="2616"/>
      <c r="Z37" s="2616"/>
      <c r="AA37" s="2617"/>
      <c r="AB37" s="2618" t="s">
        <v>508</v>
      </c>
      <c r="AC37" s="2615" t="s">
        <v>507</v>
      </c>
      <c r="AD37" s="2616"/>
      <c r="AE37" s="2616"/>
      <c r="AF37" s="2616"/>
      <c r="AG37" s="2616"/>
      <c r="AH37" s="2617"/>
      <c r="AI37" s="2618" t="s">
        <v>509</v>
      </c>
      <c r="AJ37" s="2621" t="s">
        <v>510</v>
      </c>
      <c r="AK37" s="2461"/>
      <c r="AQ37" s="1082">
        <v>14</v>
      </c>
    </row>
    <row r="38" spans="1:43" ht="35.65" customHeight="1">
      <c r="Q38" s="313"/>
      <c r="R38" s="313"/>
      <c r="S38" s="2614"/>
      <c r="T38" s="2563"/>
      <c r="U38" s="961"/>
      <c r="V38" s="1410" t="s">
        <v>566</v>
      </c>
      <c r="W38" s="2442" t="s">
        <v>513</v>
      </c>
      <c r="X38" s="2441"/>
      <c r="Y38" s="2442" t="s">
        <v>514</v>
      </c>
      <c r="Z38" s="2448"/>
      <c r="AA38" s="2441"/>
      <c r="AB38" s="2619"/>
      <c r="AC38" s="1410" t="s">
        <v>566</v>
      </c>
      <c r="AD38" s="2442" t="s">
        <v>513</v>
      </c>
      <c r="AE38" s="2441"/>
      <c r="AF38" s="2442" t="s">
        <v>514</v>
      </c>
      <c r="AG38" s="2448"/>
      <c r="AH38" s="2441"/>
      <c r="AI38" s="2619"/>
      <c r="AJ38" s="2622"/>
      <c r="AK38" s="2461"/>
      <c r="AQ38" s="1082">
        <v>34</v>
      </c>
    </row>
    <row r="39" spans="1:43" ht="90.4" customHeight="1">
      <c r="A39" s="1297"/>
      <c r="B39" s="1297" t="s">
        <v>201</v>
      </c>
      <c r="C39" s="1297" t="s">
        <v>202</v>
      </c>
      <c r="D39" s="1297" t="s">
        <v>203</v>
      </c>
      <c r="E39" s="1291" t="s">
        <v>515</v>
      </c>
      <c r="F39" s="1291" t="s">
        <v>516</v>
      </c>
      <c r="G39" s="1291" t="s">
        <v>517</v>
      </c>
      <c r="H39" s="1291"/>
      <c r="I39" s="1291" t="s">
        <v>567</v>
      </c>
      <c r="J39" s="1291" t="s">
        <v>520</v>
      </c>
      <c r="K39" s="1291" t="s">
        <v>568</v>
      </c>
      <c r="L39" s="1291" t="s">
        <v>496</v>
      </c>
      <c r="Q39" s="313"/>
      <c r="R39" s="313"/>
      <c r="S39" s="2614"/>
      <c r="T39" s="2563"/>
      <c r="U39" s="239"/>
      <c r="V39" s="1410" t="s">
        <v>597</v>
      </c>
      <c r="W39" s="1149" t="s">
        <v>598</v>
      </c>
      <c r="X39" s="1149" t="s">
        <v>571</v>
      </c>
      <c r="Y39" s="1416" t="s">
        <v>524</v>
      </c>
      <c r="Z39" s="2568" t="s">
        <v>525</v>
      </c>
      <c r="AA39" s="2581"/>
      <c r="AB39" s="2620"/>
      <c r="AC39" s="1410" t="s">
        <v>597</v>
      </c>
      <c r="AD39" s="1149" t="s">
        <v>598</v>
      </c>
      <c r="AE39" s="1149" t="s">
        <v>571</v>
      </c>
      <c r="AF39" s="1416" t="s">
        <v>524</v>
      </c>
      <c r="AG39" s="2568" t="s">
        <v>525</v>
      </c>
      <c r="AH39" s="2581"/>
      <c r="AI39" s="2620"/>
      <c r="AJ39" s="2623"/>
      <c r="AK39" s="246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177</v>
      </c>
      <c r="T40" s="1182" t="s">
        <v>102</v>
      </c>
      <c r="U40" s="1172" t="str">
        <f ca="1">OFFSET(U40,0,-1)</f>
        <v>2</v>
      </c>
      <c r="V40" s="1409">
        <f ca="1">OFFSET(V40,0,-1)+1</f>
        <v>3</v>
      </c>
      <c r="W40" s="1409">
        <f ca="1">OFFSET(W40,0,-1)+1</f>
        <v>4</v>
      </c>
      <c r="X40" s="1409">
        <f ca="1">OFFSET(X40,0,-1)+1</f>
        <v>5</v>
      </c>
      <c r="Y40" s="1409">
        <f ca="1">OFFSET(Y40,0,-1)+1</f>
        <v>6</v>
      </c>
      <c r="Z40" s="2612">
        <f ca="1">OFFSET(Z40,0,-1)+1</f>
        <v>7</v>
      </c>
      <c r="AA40" s="2612"/>
      <c r="AB40" s="1409">
        <f ca="1">OFFSET(AB40,0,-2)+1</f>
        <v>8</v>
      </c>
      <c r="AC40" s="1409">
        <f ca="1">OFFSET(AC40,0,-1)+1</f>
        <v>9</v>
      </c>
      <c r="AD40" s="1409">
        <f ca="1">OFFSET(AD40,0,-1)+1</f>
        <v>10</v>
      </c>
      <c r="AE40" s="1409">
        <f ca="1">OFFSET(AE40,0,-1)+1</f>
        <v>11</v>
      </c>
      <c r="AF40" s="1409">
        <f ca="1">OFFSET(AF40,0,-1)+1</f>
        <v>12</v>
      </c>
      <c r="AG40" s="2612">
        <f ca="1">OFFSET(AG40,0,-1)+1</f>
        <v>13</v>
      </c>
      <c r="AH40" s="2612"/>
      <c r="AI40" s="1409">
        <f ca="1">OFFSET(AI40,0,-2)+1</f>
        <v>14</v>
      </c>
      <c r="AJ40" s="1172">
        <f ca="1">OFFSET(AJ40,0,-1)</f>
        <v>14</v>
      </c>
      <c r="AK40" s="1409">
        <f ca="1">OFFSET(AK40,0,-1)+1</f>
        <v>15</v>
      </c>
      <c r="AL40" s="448"/>
      <c r="AM40" s="448"/>
      <c r="AN40" s="448"/>
      <c r="AO40" s="448"/>
      <c r="AP40" s="448"/>
      <c r="AQ40" s="433">
        <v>0</v>
      </c>
    </row>
    <row r="41" spans="1:43" ht="24" customHeight="1">
      <c r="A41" s="1290" t="s">
        <v>351</v>
      </c>
      <c r="B41" s="1290"/>
      <c r="C41" s="1290"/>
      <c r="D41" s="1290"/>
      <c r="E41" s="260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189</v>
      </c>
      <c r="U41" s="237"/>
      <c r="V41" s="2595"/>
      <c r="W41" s="2596"/>
      <c r="X41" s="2596"/>
      <c r="Y41" s="2596"/>
      <c r="Z41" s="2596"/>
      <c r="AA41" s="2596"/>
      <c r="AB41" s="2597"/>
      <c r="AC41" s="2595" t="str">
        <f>INDEX(PT_DIFFERENTIATION_NTAR,MATCH(A41,PT_DIFFERENTIATION_NTAR_ID,0))</f>
        <v/>
      </c>
      <c r="AD41" s="2596"/>
      <c r="AE41" s="2596"/>
      <c r="AF41" s="2596"/>
      <c r="AG41" s="2596"/>
      <c r="AH41" s="2596"/>
      <c r="AI41" s="2596"/>
      <c r="AJ41" s="259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351</v>
      </c>
      <c r="B42" s="1290" t="s">
        <v>352</v>
      </c>
      <c r="C42" s="1290"/>
      <c r="D42" s="1290"/>
      <c r="E42" s="2602"/>
      <c r="F42" s="2601">
        <v>1</v>
      </c>
      <c r="G42" s="1290"/>
      <c r="H42" s="1290"/>
      <c r="I42" s="1290"/>
      <c r="J42" s="1290"/>
      <c r="K42" s="1290"/>
      <c r="L42" s="1291"/>
      <c r="M42" s="1292"/>
      <c r="N42" s="1292"/>
      <c r="O42" s="1292"/>
      <c r="P42" s="1414"/>
      <c r="Q42" s="289"/>
      <c r="R42" s="290"/>
      <c r="S42" s="1420" t="str">
        <f>INDEX(PT_DIFFERENTIATION_NUM_TER,MATCH(B42,PT_DIFFERENTIATION_TER_ID,0))</f>
        <v>.</v>
      </c>
      <c r="T42" s="245" t="s">
        <v>477</v>
      </c>
      <c r="U42" s="237"/>
      <c r="V42" s="2595"/>
      <c r="W42" s="2596"/>
      <c r="X42" s="2596"/>
      <c r="Y42" s="2596"/>
      <c r="Z42" s="2596"/>
      <c r="AA42" s="2596"/>
      <c r="AB42" s="2597"/>
      <c r="AC42" s="2595" t="str">
        <f>INDEX(PT_DIFFERENTIATION_TER,MATCH(B42,PT_DIFFERENTIATION_TER_ID,0))</f>
        <v/>
      </c>
      <c r="AD42" s="2596"/>
      <c r="AE42" s="2596"/>
      <c r="AF42" s="2596"/>
      <c r="AG42" s="2596"/>
      <c r="AH42" s="2596"/>
      <c r="AI42" s="2596"/>
      <c r="AJ42" s="2597"/>
      <c r="AK42" s="1185" t="s">
        <v>478</v>
      </c>
      <c r="AM42" s="437"/>
      <c r="AN42" s="437" t="str">
        <f t="shared" si="1"/>
        <v>Территория действия тарифа</v>
      </c>
      <c r="AO42" s="437"/>
      <c r="AP42" s="437"/>
      <c r="AQ42" s="1082">
        <v>23</v>
      </c>
    </row>
    <row r="43" spans="1:43" ht="24" customHeight="1">
      <c r="A43" s="1290" t="s">
        <v>351</v>
      </c>
      <c r="B43" s="1290" t="s">
        <v>352</v>
      </c>
      <c r="C43" s="1290" t="s">
        <v>353</v>
      </c>
      <c r="D43" s="1290"/>
      <c r="E43" s="2602"/>
      <c r="F43" s="2602"/>
      <c r="G43" s="2601">
        <v>1</v>
      </c>
      <c r="H43" s="1290"/>
      <c r="I43" s="1290"/>
      <c r="J43" s="1290"/>
      <c r="K43" s="1290"/>
      <c r="L43" s="1291"/>
      <c r="M43" s="1292"/>
      <c r="N43" s="1292"/>
      <c r="O43" s="1292"/>
      <c r="P43" s="291"/>
      <c r="Q43" s="289"/>
      <c r="R43" s="290"/>
      <c r="S43" s="1420" t="str">
        <f>INDEX(PT_DIFFERENTIATION_NUM_CS,MATCH(C43,PT_DIFFERENTIATION_CS_ID,0))</f>
        <v>..</v>
      </c>
      <c r="T43" s="246" t="s">
        <v>595</v>
      </c>
      <c r="U43" s="237"/>
      <c r="V43" s="2595"/>
      <c r="W43" s="2596"/>
      <c r="X43" s="2596"/>
      <c r="Y43" s="2596"/>
      <c r="Z43" s="2596"/>
      <c r="AA43" s="2596"/>
      <c r="AB43" s="2597"/>
      <c r="AC43" s="2595" t="str">
        <f>INDEX(PT_DIFFERENTIATION_CS,MATCH(C43,PT_DIFFERENTIATION_CS_ID,0))</f>
        <v/>
      </c>
      <c r="AD43" s="2596"/>
      <c r="AE43" s="2596"/>
      <c r="AF43" s="2596"/>
      <c r="AG43" s="2596"/>
      <c r="AH43" s="2596"/>
      <c r="AI43" s="2596"/>
      <c r="AJ43" s="2597"/>
      <c r="AK43" s="1185" t="s">
        <v>596</v>
      </c>
      <c r="AM43" s="437"/>
      <c r="AN43" s="437" t="str">
        <f t="shared" si="1"/>
        <v>Наименование централизованной системы водоотведения</v>
      </c>
      <c r="AO43" s="437"/>
      <c r="AP43" s="437"/>
      <c r="AQ43" s="1082">
        <v>23</v>
      </c>
    </row>
    <row r="44" spans="1:43" ht="24" customHeight="1">
      <c r="A44" s="1290" t="s">
        <v>351</v>
      </c>
      <c r="B44" s="1290" t="s">
        <v>352</v>
      </c>
      <c r="C44" s="1290" t="s">
        <v>353</v>
      </c>
      <c r="D44" s="1290" t="s">
        <v>600</v>
      </c>
      <c r="E44" s="2602"/>
      <c r="F44" s="2602"/>
      <c r="G44" s="2602"/>
      <c r="H44" s="2602"/>
      <c r="I44" s="2603" t="str">
        <f>S43&amp;".1"</f>
        <v>...1</v>
      </c>
      <c r="J44" s="1290"/>
      <c r="K44" s="1290"/>
      <c r="L44" s="1291"/>
      <c r="P44" s="2605">
        <v>1</v>
      </c>
      <c r="Q44" s="1408"/>
      <c r="R44" s="293"/>
      <c r="S44" s="1420" t="str">
        <f>$I44</f>
        <v>...1</v>
      </c>
      <c r="T44" s="222" t="s">
        <v>560</v>
      </c>
      <c r="U44" s="237"/>
      <c r="V44" s="2669"/>
      <c r="W44" s="2670"/>
      <c r="X44" s="2670"/>
      <c r="Y44" s="2670"/>
      <c r="Z44" s="2670"/>
      <c r="AA44" s="2670"/>
      <c r="AB44" s="2671"/>
      <c r="AC44" s="2672"/>
      <c r="AD44" s="2673"/>
      <c r="AE44" s="2673"/>
      <c r="AF44" s="2673"/>
      <c r="AG44" s="2673"/>
      <c r="AH44" s="2673"/>
      <c r="AI44" s="2673"/>
      <c r="AJ44" s="2674"/>
      <c r="AK44" s="1185" t="s">
        <v>561</v>
      </c>
      <c r="AM44" s="437"/>
      <c r="AN44" s="437" t="str">
        <f t="shared" si="1"/>
        <v>Наименование признака дифференциации</v>
      </c>
      <c r="AO44" s="437"/>
      <c r="AP44" s="437"/>
      <c r="AQ44" s="1082">
        <v>23</v>
      </c>
    </row>
    <row r="45" spans="1:43" ht="24" customHeight="1">
      <c r="A45" s="1290" t="s">
        <v>351</v>
      </c>
      <c r="B45" s="1290" t="s">
        <v>352</v>
      </c>
      <c r="C45" s="1290" t="s">
        <v>353</v>
      </c>
      <c r="D45" s="1290" t="s">
        <v>600</v>
      </c>
      <c r="E45" s="2602"/>
      <c r="F45" s="2602"/>
      <c r="G45" s="2602"/>
      <c r="H45" s="2602"/>
      <c r="I45" s="2604"/>
      <c r="J45" s="2603" t="str">
        <f>I44&amp;".1"</f>
        <v>...1.1</v>
      </c>
      <c r="K45" s="1290"/>
      <c r="L45" s="1291" t="s">
        <v>486</v>
      </c>
      <c r="P45" s="2605"/>
      <c r="Q45" s="2605">
        <v>1</v>
      </c>
      <c r="R45" s="294"/>
      <c r="S45" s="1420" t="str">
        <f>$J45</f>
        <v>...1.1</v>
      </c>
      <c r="T45" s="223" t="s">
        <v>487</v>
      </c>
      <c r="U45" s="237"/>
      <c r="V45" s="2589"/>
      <c r="W45" s="2590"/>
      <c r="X45" s="2590"/>
      <c r="Y45" s="2590"/>
      <c r="Z45" s="2590"/>
      <c r="AA45" s="2590"/>
      <c r="AB45" s="2591"/>
      <c r="AC45" s="2589"/>
      <c r="AD45" s="2590"/>
      <c r="AE45" s="2590"/>
      <c r="AF45" s="2590"/>
      <c r="AG45" s="2590"/>
      <c r="AH45" s="2590"/>
      <c r="AI45" s="2590"/>
      <c r="AJ45" s="2591"/>
      <c r="AK45" s="1234" t="s">
        <v>562</v>
      </c>
      <c r="AM45" s="437"/>
      <c r="AN45" s="437" t="str">
        <f t="shared" si="1"/>
        <v>Группа потребителей</v>
      </c>
      <c r="AO45" s="437"/>
      <c r="AP45" s="437"/>
      <c r="AQ45" s="1082">
        <v>23</v>
      </c>
    </row>
    <row r="46" spans="1:43" ht="24" customHeight="1">
      <c r="A46" s="1290" t="s">
        <v>351</v>
      </c>
      <c r="B46" s="1290" t="s">
        <v>352</v>
      </c>
      <c r="C46" s="1290" t="s">
        <v>353</v>
      </c>
      <c r="D46" s="1290" t="s">
        <v>600</v>
      </c>
      <c r="E46" s="2602"/>
      <c r="F46" s="2602"/>
      <c r="G46" s="2602"/>
      <c r="H46" s="2602"/>
      <c r="I46" s="2604"/>
      <c r="J46" s="2604"/>
      <c r="K46" s="2603" t="str">
        <f>J45&amp;".1"</f>
        <v>...1.1.1</v>
      </c>
      <c r="L46" s="1291"/>
      <c r="P46" s="2605"/>
      <c r="Q46" s="2605"/>
      <c r="R46" s="294">
        <v>1</v>
      </c>
      <c r="S46" s="1420" t="str">
        <f>$K46</f>
        <v>...1.1.1</v>
      </c>
      <c r="T46" s="1364"/>
      <c r="U46" s="237"/>
      <c r="V46" s="1287"/>
      <c r="W46" s="1287"/>
      <c r="X46" s="1288"/>
      <c r="Y46" s="2599"/>
      <c r="Z46" s="2598" t="s">
        <v>66</v>
      </c>
      <c r="AA46" s="2599"/>
      <c r="AB46" s="2598" t="s">
        <v>66</v>
      </c>
      <c r="AC46" s="688"/>
      <c r="AD46" s="688"/>
      <c r="AE46" s="1184"/>
      <c r="AF46" s="2606"/>
      <c r="AG46" s="2471" t="s">
        <v>66</v>
      </c>
      <c r="AH46" s="2608"/>
      <c r="AI46" s="2471" t="s">
        <v>19</v>
      </c>
      <c r="AJ46" s="1365"/>
      <c r="AK46"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351</v>
      </c>
      <c r="B47" s="1290" t="s">
        <v>352</v>
      </c>
      <c r="C47" s="1290" t="s">
        <v>353</v>
      </c>
      <c r="D47" s="1290" t="s">
        <v>600</v>
      </c>
      <c r="E47" s="2602"/>
      <c r="F47" s="2602"/>
      <c r="G47" s="2602"/>
      <c r="H47" s="2602"/>
      <c r="I47" s="2604"/>
      <c r="J47" s="2604"/>
      <c r="K47" s="2603"/>
      <c r="L47" s="1291"/>
      <c r="P47" s="2605"/>
      <c r="Q47" s="2605"/>
      <c r="R47" s="294"/>
      <c r="S47" s="1417"/>
      <c r="T47" s="237"/>
      <c r="U47" s="237"/>
      <c r="V47" s="1287"/>
      <c r="W47" s="1287"/>
      <c r="X47" s="265" t="str">
        <f>Y46&amp;"-"&amp;AA46</f>
        <v>-</v>
      </c>
      <c r="Y47" s="2598"/>
      <c r="Z47" s="2598"/>
      <c r="AA47" s="2598"/>
      <c r="AB47" s="2598"/>
      <c r="AC47" s="262"/>
      <c r="AD47" s="262"/>
      <c r="AE47" s="265" t="str">
        <f>AF46&amp;"-"&amp;AH46</f>
        <v>-</v>
      </c>
      <c r="AF47" s="2607"/>
      <c r="AG47" s="2471"/>
      <c r="AH47" s="2609"/>
      <c r="AI47" s="2471"/>
      <c r="AJ47" s="1366"/>
      <c r="AK47" s="2675"/>
      <c r="AM47" s="437"/>
      <c r="AN47" s="437" t="str">
        <f t="shared" si="1"/>
        <v/>
      </c>
      <c r="AO47" s="437"/>
      <c r="AP47" s="437"/>
      <c r="AQ47" s="1082">
        <v>0</v>
      </c>
    </row>
    <row r="48" spans="1:43" ht="21" customHeight="1">
      <c r="A48" s="1290" t="s">
        <v>351</v>
      </c>
      <c r="B48" s="1290" t="s">
        <v>352</v>
      </c>
      <c r="C48" s="1290" t="s">
        <v>353</v>
      </c>
      <c r="D48" s="1290" t="s">
        <v>600</v>
      </c>
      <c r="E48" s="2602"/>
      <c r="F48" s="2602"/>
      <c r="G48" s="2602"/>
      <c r="H48" s="2602"/>
      <c r="I48" s="2604"/>
      <c r="J48" s="2603"/>
      <c r="K48" s="1290"/>
      <c r="L48" s="1291"/>
      <c r="P48" s="2605"/>
      <c r="Q48" s="2605"/>
      <c r="R48" s="293"/>
      <c r="S48" s="1205"/>
      <c r="T48" s="224" t="s">
        <v>563</v>
      </c>
      <c r="U48" s="304"/>
      <c r="V48" s="304"/>
      <c r="W48" s="304"/>
      <c r="X48" s="304"/>
      <c r="Y48" s="304"/>
      <c r="Z48" s="304"/>
      <c r="AA48" s="304"/>
      <c r="AB48" s="304"/>
      <c r="AC48" s="304"/>
      <c r="AD48" s="304"/>
      <c r="AE48" s="304"/>
      <c r="AF48" s="304"/>
      <c r="AG48" s="304"/>
      <c r="AH48" s="304"/>
      <c r="AI48" s="304"/>
      <c r="AJ48" s="304"/>
      <c r="AK48" s="1185" t="s">
        <v>564</v>
      </c>
      <c r="AM48" s="437"/>
      <c r="AN48" s="437" t="str">
        <f t="shared" si="1"/>
        <v>Добавить значение признака дифференциации</v>
      </c>
      <c r="AO48" s="437"/>
      <c r="AP48" s="437"/>
      <c r="AQ48" s="1082">
        <v>20</v>
      </c>
    </row>
    <row r="49" spans="1:43" ht="21.95" customHeight="1">
      <c r="A49" s="1290" t="s">
        <v>351</v>
      </c>
      <c r="B49" s="1290" t="s">
        <v>352</v>
      </c>
      <c r="C49" s="1290" t="s">
        <v>353</v>
      </c>
      <c r="D49" s="1290" t="s">
        <v>600</v>
      </c>
      <c r="E49" s="2602"/>
      <c r="F49" s="2602"/>
      <c r="G49" s="2602"/>
      <c r="H49" s="2602"/>
      <c r="I49" s="2603"/>
      <c r="J49" s="1290"/>
      <c r="K49" s="1290"/>
      <c r="L49" s="1291"/>
      <c r="P49" s="2605"/>
      <c r="Q49" s="1408"/>
      <c r="R49" s="293"/>
      <c r="S49" s="1205"/>
      <c r="T49" s="302" t="s">
        <v>492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351</v>
      </c>
      <c r="B50" s="1290" t="s">
        <v>352</v>
      </c>
      <c r="C50" s="1290" t="s">
        <v>353</v>
      </c>
      <c r="D50" s="1290" t="s">
        <v>600</v>
      </c>
      <c r="E50" s="2602"/>
      <c r="F50" s="2602"/>
      <c r="G50" s="2602"/>
      <c r="H50" s="2601"/>
      <c r="I50" s="1290"/>
      <c r="J50" s="1290"/>
      <c r="K50" s="1290"/>
      <c r="L50" s="1291"/>
      <c r="M50" s="1292"/>
      <c r="N50" s="1292"/>
      <c r="O50" s="474"/>
      <c r="P50" s="297"/>
      <c r="Q50" s="312"/>
      <c r="R50" s="292"/>
      <c r="S50" s="1205"/>
      <c r="T50" s="309" t="s">
        <v>565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351</v>
      </c>
      <c r="B51" s="1270" t="s">
        <v>352</v>
      </c>
      <c r="C51" s="1241"/>
      <c r="D51" s="1241"/>
      <c r="E51" s="2602"/>
      <c r="F51" s="2601"/>
      <c r="G51" s="1241"/>
      <c r="H51" s="1241"/>
      <c r="I51" s="1241"/>
      <c r="J51" s="1241"/>
      <c r="K51" s="1241"/>
      <c r="L51" s="1421"/>
      <c r="M51" s="1248"/>
      <c r="N51" s="1248"/>
      <c r="P51" s="1243"/>
      <c r="Q51" s="1244"/>
      <c r="R51" s="1243"/>
      <c r="S51" s="1249"/>
      <c r="T51" s="1252" t="s">
        <v>295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351</v>
      </c>
      <c r="B52" s="1270"/>
      <c r="C52" s="1270"/>
      <c r="D52" s="1270"/>
      <c r="E52" s="2601"/>
      <c r="F52" s="1270"/>
      <c r="G52" s="1270"/>
      <c r="H52" s="1270"/>
      <c r="I52" s="1270"/>
      <c r="J52" s="1270"/>
      <c r="K52" s="1270"/>
      <c r="L52" s="1273"/>
      <c r="M52" s="1248"/>
      <c r="N52" s="1248"/>
      <c r="O52" s="455"/>
      <c r="P52" s="317"/>
      <c r="Q52" s="1271"/>
      <c r="R52" s="317"/>
      <c r="S52" s="1249"/>
      <c r="T52" s="1252" t="s">
        <v>299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300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600"/>
      <c r="U55" s="2600"/>
      <c r="V55" s="2600"/>
      <c r="W55" s="2600"/>
      <c r="X55" s="2600"/>
      <c r="Y55" s="2600"/>
      <c r="Z55" s="2600"/>
      <c r="AA55" s="2600"/>
      <c r="AB55" s="2600"/>
      <c r="AC55" s="2600"/>
      <c r="AD55" s="2600"/>
      <c r="AE55" s="2600"/>
      <c r="AF55" s="2600"/>
      <c r="AG55" s="2600"/>
      <c r="AH55" s="2600"/>
      <c r="AI55" s="2600"/>
      <c r="AJ55" s="2600"/>
      <c r="AK55" s="2600"/>
      <c r="AQ55" s="1082">
        <v>14</v>
      </c>
    </row>
    <row r="56" spans="1:43" ht="14.65" customHeight="1">
      <c r="O56" s="474"/>
      <c r="AQ56" s="1082">
        <v>14</v>
      </c>
    </row>
    <row r="57" spans="1:43" ht="14.65" customHeight="1">
      <c r="O57" s="474"/>
      <c r="S57" s="1180"/>
      <c r="T57" s="2600"/>
      <c r="U57" s="2600"/>
      <c r="V57" s="2600"/>
      <c r="W57" s="2600"/>
      <c r="X57" s="2600"/>
      <c r="Y57" s="2600"/>
      <c r="Z57" s="2600"/>
      <c r="AA57" s="2600"/>
      <c r="AB57" s="2600"/>
      <c r="AC57" s="2600"/>
      <c r="AD57" s="2600"/>
      <c r="AE57" s="2600"/>
      <c r="AF57" s="2600"/>
      <c r="AG57" s="2600"/>
      <c r="AH57" s="2600"/>
      <c r="AI57" s="2600"/>
      <c r="AJ57" s="2600"/>
      <c r="AK57" s="260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601">
        <v>1</v>
      </c>
      <c r="F2" s="1290"/>
      <c r="G2" s="1290"/>
      <c r="H2" s="1290"/>
      <c r="I2" s="1290"/>
      <c r="J2" s="1290"/>
      <c r="K2" s="1290"/>
      <c r="L2" s="1291"/>
      <c r="M2" s="1292"/>
      <c r="N2" s="1292"/>
      <c r="O2" s="1292"/>
      <c r="P2" s="1336"/>
      <c r="Q2" s="804"/>
      <c r="R2" s="292"/>
      <c r="S2" s="1420" t="e">
        <f>INDEX(PT_DIFFERENTIATION_NUM_NTAR,MATCH(A2,PT_DIFFERENTIATION_NTAR_ID,0))</f>
        <v>#N/A</v>
      </c>
      <c r="T2" s="235" t="s">
        <v>189</v>
      </c>
      <c r="U2" s="237"/>
      <c r="V2" s="2596"/>
      <c r="W2" s="2596"/>
      <c r="X2" s="2596"/>
      <c r="Y2" s="2596"/>
      <c r="Z2" s="2596"/>
      <c r="AA2" s="2596"/>
      <c r="AB2" s="2596"/>
      <c r="AC2" s="2597"/>
      <c r="AD2" s="2595" t="e">
        <f>INDEX(PT_DIFFERENTIATION_NTAR,MATCH(A2,PT_DIFFERENTIATION_NTAR_ID,0))</f>
        <v>#N/A</v>
      </c>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02"/>
      <c r="F3" s="2601">
        <v>1</v>
      </c>
      <c r="G3" s="1290"/>
      <c r="H3" s="1290"/>
      <c r="I3" s="1290"/>
      <c r="J3" s="1290"/>
      <c r="K3" s="1290"/>
      <c r="L3" s="1291"/>
      <c r="M3" s="1292"/>
      <c r="N3" s="1292"/>
      <c r="O3" s="1292"/>
      <c r="P3" s="1337"/>
      <c r="Q3" s="1338"/>
      <c r="R3" s="290"/>
      <c r="S3" s="1420" t="e">
        <f>INDEX(PT_DIFFERENTIATION_NUM_TER,MATCH(B3,PT_DIFFERENTIATION_TER_ID,0))</f>
        <v>#N/A</v>
      </c>
      <c r="T3" s="245" t="s">
        <v>477</v>
      </c>
      <c r="U3" s="237"/>
      <c r="V3" s="2596"/>
      <c r="W3" s="2596"/>
      <c r="X3" s="2596"/>
      <c r="Y3" s="2596"/>
      <c r="Z3" s="2596"/>
      <c r="AA3" s="2596"/>
      <c r="AB3" s="2596"/>
      <c r="AC3" s="2597"/>
      <c r="AD3" s="2595" t="e">
        <f>INDEX(PT_DIFFERENTIATION_TER,MATCH(B3,PT_DIFFERENTIATION_TER_ID,0))</f>
        <v>#N/A</v>
      </c>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7"/>
      <c r="BC3" s="1185" t="s">
        <v>478</v>
      </c>
      <c r="BE3" s="437"/>
      <c r="BF3" s="437" t="str">
        <f t="shared" si="0"/>
        <v>Территория действия тарифа</v>
      </c>
      <c r="BG3" s="437"/>
      <c r="BH3" s="437"/>
      <c r="BI3" s="1082">
        <v>0</v>
      </c>
    </row>
    <row r="4" spans="1:61" ht="33.75" hidden="1" customHeight="1">
      <c r="A4" s="1290"/>
      <c r="B4" s="1290"/>
      <c r="C4" s="1290"/>
      <c r="D4" s="1290"/>
      <c r="E4" s="2602"/>
      <c r="F4" s="2602"/>
      <c r="G4" s="2601">
        <v>1</v>
      </c>
      <c r="H4" s="1290"/>
      <c r="I4" s="1290"/>
      <c r="J4" s="1290"/>
      <c r="K4" s="1290"/>
      <c r="L4" s="1291"/>
      <c r="M4" s="1292"/>
      <c r="N4" s="1292"/>
      <c r="O4" s="1292"/>
      <c r="P4" s="1339"/>
      <c r="Q4" s="1338"/>
      <c r="R4" s="290"/>
      <c r="S4" s="1420" t="e">
        <f>INDEX(PT_DIFFERENTIATION_NUM_CS,MATCH(C4,PT_DIFFERENTIATION_CS_ID,0))</f>
        <v>#N/A</v>
      </c>
      <c r="T4" s="246" t="s">
        <v>595</v>
      </c>
      <c r="U4" s="237"/>
      <c r="V4" s="2596"/>
      <c r="W4" s="2596"/>
      <c r="X4" s="2596"/>
      <c r="Y4" s="2596"/>
      <c r="Z4" s="2596"/>
      <c r="AA4" s="2596"/>
      <c r="AB4" s="2596"/>
      <c r="AC4" s="2597"/>
      <c r="AD4" s="2595" t="e">
        <f>INDEX(PT_DIFFERENTIATION_CS,MATCH(C4,PT_DIFFERENTIATION_CS_ID,0))</f>
        <v>#N/A</v>
      </c>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7"/>
      <c r="BC4" s="1185" t="s">
        <v>596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602"/>
      <c r="F5" s="2602"/>
      <c r="G5" s="2602"/>
      <c r="H5" s="2601">
        <v>1</v>
      </c>
      <c r="I5" s="1270"/>
      <c r="J5" s="1270"/>
      <c r="K5" s="1270"/>
      <c r="L5" s="1273"/>
      <c r="M5" s="1242"/>
      <c r="N5" s="1242"/>
      <c r="O5" s="1242"/>
      <c r="P5" s="1424"/>
      <c r="Q5" s="1425"/>
      <c r="R5" s="294"/>
      <c r="S5" s="972"/>
      <c r="T5" s="1426"/>
      <c r="U5" s="1311"/>
      <c r="V5" s="2633"/>
      <c r="W5" s="2633"/>
      <c r="X5" s="2633"/>
      <c r="Y5" s="2633"/>
      <c r="Z5" s="2633"/>
      <c r="AA5" s="2633"/>
      <c r="AB5" s="2633"/>
      <c r="AC5" s="2634"/>
      <c r="AD5" s="2632"/>
      <c r="AE5" s="2633"/>
      <c r="AF5" s="2633"/>
      <c r="AG5" s="2633"/>
      <c r="AH5" s="2633"/>
      <c r="AI5" s="2633"/>
      <c r="AJ5" s="2633"/>
      <c r="AK5" s="2633"/>
      <c r="AL5" s="2633"/>
      <c r="AM5" s="2633"/>
      <c r="AN5" s="2633"/>
      <c r="AO5" s="2633"/>
      <c r="AP5" s="2633"/>
      <c r="AQ5" s="2633"/>
      <c r="AR5" s="2633"/>
      <c r="AS5" s="2633"/>
      <c r="AT5" s="2633"/>
      <c r="AU5" s="2633"/>
      <c r="AV5" s="2633"/>
      <c r="AW5" s="2633"/>
      <c r="AX5" s="2633"/>
      <c r="AY5" s="2633"/>
      <c r="AZ5" s="2633"/>
      <c r="BA5" s="2633"/>
      <c r="BB5" s="2634"/>
      <c r="BC5" s="1312" t="s">
        <v>482</v>
      </c>
      <c r="BE5" s="437"/>
      <c r="BF5" s="437" t="str">
        <f t="shared" si="0"/>
        <v/>
      </c>
      <c r="BG5" s="437"/>
      <c r="BH5" s="437"/>
      <c r="BI5" s="448">
        <v>0</v>
      </c>
    </row>
    <row r="6" spans="1:61" s="1569" customFormat="1" ht="14.25" hidden="1" customHeight="1">
      <c r="A6" s="1270"/>
      <c r="B6" s="1270"/>
      <c r="C6" s="1270"/>
      <c r="D6" s="1270"/>
      <c r="E6" s="2602"/>
      <c r="F6" s="2602"/>
      <c r="G6" s="2602"/>
      <c r="H6" s="2602"/>
      <c r="I6" s="2603" t="str">
        <f>S5&amp;".1"</f>
        <v>.1</v>
      </c>
      <c r="J6" s="1270"/>
      <c r="K6" s="1270"/>
      <c r="L6" s="1273" t="s">
        <v>483</v>
      </c>
      <c r="M6" s="447"/>
      <c r="N6" s="447"/>
      <c r="O6" s="447"/>
      <c r="P6" s="2605">
        <v>1</v>
      </c>
      <c r="Q6" s="1408"/>
      <c r="R6" s="293"/>
      <c r="S6" s="972"/>
      <c r="T6" s="1310"/>
      <c r="U6" s="1311"/>
      <c r="V6" s="2633"/>
      <c r="W6" s="2633"/>
      <c r="X6" s="2633"/>
      <c r="Y6" s="2633"/>
      <c r="Z6" s="2633"/>
      <c r="AA6" s="2633"/>
      <c r="AB6" s="2633"/>
      <c r="AC6" s="2634"/>
      <c r="AD6" s="2632"/>
      <c r="AE6" s="2633"/>
      <c r="AF6" s="2633"/>
      <c r="AG6" s="2633"/>
      <c r="AH6" s="2633"/>
      <c r="AI6" s="2633"/>
      <c r="AJ6" s="2633"/>
      <c r="AK6" s="2633"/>
      <c r="AL6" s="2633"/>
      <c r="AM6" s="2633"/>
      <c r="AN6" s="2633"/>
      <c r="AO6" s="2633"/>
      <c r="AP6" s="2633"/>
      <c r="AQ6" s="2633"/>
      <c r="AR6" s="2633"/>
      <c r="AS6" s="2633"/>
      <c r="AT6" s="2633"/>
      <c r="AU6" s="2633"/>
      <c r="AV6" s="2633"/>
      <c r="AW6" s="2633"/>
      <c r="AX6" s="2633"/>
      <c r="AY6" s="2633"/>
      <c r="AZ6" s="2633"/>
      <c r="BA6" s="2633"/>
      <c r="BB6" s="2634"/>
      <c r="BC6" s="1312"/>
      <c r="BE6" s="437"/>
      <c r="BF6" s="437" t="str">
        <f t="shared" si="0"/>
        <v/>
      </c>
      <c r="BG6" s="437"/>
      <c r="BH6" s="437"/>
      <c r="BI6" s="448">
        <v>0</v>
      </c>
    </row>
    <row r="7" spans="1:61" s="1569" customFormat="1" ht="14.25" hidden="1" customHeight="1">
      <c r="A7" s="1270"/>
      <c r="B7" s="1270"/>
      <c r="C7" s="1270"/>
      <c r="D7" s="1270"/>
      <c r="E7" s="2602"/>
      <c r="F7" s="2602"/>
      <c r="G7" s="2602"/>
      <c r="H7" s="2602"/>
      <c r="I7" s="2604"/>
      <c r="J7" s="2603" t="str">
        <f>S5&amp;".1"</f>
        <v>.1</v>
      </c>
      <c r="K7" s="1270"/>
      <c r="L7" s="1273"/>
      <c r="M7" s="447"/>
      <c r="N7" s="447"/>
      <c r="O7" s="447"/>
      <c r="P7" s="2605"/>
      <c r="Q7" s="2605">
        <v>1</v>
      </c>
      <c r="R7" s="294"/>
      <c r="S7" s="972"/>
      <c r="T7" s="1326"/>
      <c r="U7" s="1311"/>
      <c r="V7" s="2633"/>
      <c r="W7" s="2633"/>
      <c r="X7" s="2633"/>
      <c r="Y7" s="2633"/>
      <c r="Z7" s="2633"/>
      <c r="AA7" s="2633"/>
      <c r="AB7" s="2633"/>
      <c r="AC7" s="2634"/>
      <c r="AD7" s="2632"/>
      <c r="AE7" s="2633"/>
      <c r="AF7" s="2633"/>
      <c r="AG7" s="2633"/>
      <c r="AH7" s="2633"/>
      <c r="AI7" s="2633"/>
      <c r="AJ7" s="2633"/>
      <c r="AK7" s="2633"/>
      <c r="AL7" s="2633"/>
      <c r="AM7" s="2633"/>
      <c r="AN7" s="2633"/>
      <c r="AO7" s="2633"/>
      <c r="AP7" s="2633"/>
      <c r="AQ7" s="2633"/>
      <c r="AR7" s="2633"/>
      <c r="AS7" s="2633"/>
      <c r="AT7" s="2633"/>
      <c r="AU7" s="2633"/>
      <c r="AV7" s="2633"/>
      <c r="AW7" s="2633"/>
      <c r="AX7" s="2633"/>
      <c r="AY7" s="2633"/>
      <c r="AZ7" s="2633"/>
      <c r="BA7" s="2633"/>
      <c r="BB7" s="2634"/>
      <c r="BC7" s="1312"/>
      <c r="BE7" s="437"/>
      <c r="BF7" s="437" t="str">
        <f t="shared" si="0"/>
        <v/>
      </c>
      <c r="BG7" s="437"/>
      <c r="BH7" s="437"/>
      <c r="BI7" s="448">
        <v>0</v>
      </c>
    </row>
    <row r="8" spans="1:61" ht="11.25" hidden="1" customHeight="1">
      <c r="A8" s="1290"/>
      <c r="B8" s="1290"/>
      <c r="C8" s="1290"/>
      <c r="D8" s="1290"/>
      <c r="E8" s="2602"/>
      <c r="F8" s="2602"/>
      <c r="G8" s="2602"/>
      <c r="H8" s="2602"/>
      <c r="I8" s="2604"/>
      <c r="J8" s="2604"/>
      <c r="K8" s="2603" t="e">
        <f>S4&amp;".1"</f>
        <v>#N/A</v>
      </c>
      <c r="L8" s="1291"/>
      <c r="P8" s="2605"/>
      <c r="Q8" s="2605"/>
      <c r="R8" s="2661">
        <v>1</v>
      </c>
      <c r="S8" s="2658" t="e">
        <f>$K8</f>
        <v>#N/A</v>
      </c>
      <c r="T8" s="2678"/>
      <c r="U8" s="237"/>
      <c r="V8" s="688"/>
      <c r="W8" s="1184"/>
      <c r="X8" s="688"/>
      <c r="Y8" s="1184"/>
      <c r="Z8" s="1661"/>
      <c r="AA8" s="1396" t="s">
        <v>66</v>
      </c>
      <c r="AB8" s="1661"/>
      <c r="AC8" s="1396" t="s">
        <v>66</v>
      </c>
      <c r="AD8" s="2531" t="s">
        <v>66</v>
      </c>
      <c r="AE8" s="2654"/>
      <c r="AF8" s="2559">
        <v>1</v>
      </c>
      <c r="AG8" s="2677"/>
      <c r="AH8" s="2471" t="s">
        <v>66</v>
      </c>
      <c r="AI8" s="2654"/>
      <c r="AJ8" s="2559">
        <v>1</v>
      </c>
      <c r="AK8" s="2668" t="s">
        <v>28</v>
      </c>
      <c r="AL8" s="2471" t="s">
        <v>66</v>
      </c>
      <c r="AM8" s="2536"/>
      <c r="AN8" s="2559">
        <v>1</v>
      </c>
      <c r="AO8" s="2681"/>
      <c r="AP8" s="2682" t="s">
        <v>66</v>
      </c>
      <c r="AQ8" s="248"/>
      <c r="AR8" s="1413">
        <v>1</v>
      </c>
      <c r="AS8" s="1419" t="s">
        <v>28</v>
      </c>
      <c r="AT8" s="688"/>
      <c r="AU8" s="1184"/>
      <c r="AV8" s="688"/>
      <c r="AW8" s="1184"/>
      <c r="AX8" s="1661"/>
      <c r="AY8" s="1396" t="s">
        <v>66</v>
      </c>
      <c r="AZ8" s="1661"/>
      <c r="BA8" s="1396" t="s">
        <v>66</v>
      </c>
      <c r="BB8" s="1275"/>
      <c r="BC8" s="2624" t="s">
        <v>580</v>
      </c>
      <c r="BE8" s="437"/>
      <c r="BF8" s="437" t="str">
        <f t="shared" si="0"/>
        <v/>
      </c>
      <c r="BG8" s="437"/>
      <c r="BH8" s="437"/>
      <c r="BI8" s="1082">
        <v>0</v>
      </c>
    </row>
    <row r="9" spans="1:61" ht="11.25" hidden="1" customHeight="1">
      <c r="A9" s="1290"/>
      <c r="B9" s="1290"/>
      <c r="C9" s="1290"/>
      <c r="D9" s="1290"/>
      <c r="E9" s="2602"/>
      <c r="F9" s="2602"/>
      <c r="G9" s="2602"/>
      <c r="H9" s="2602"/>
      <c r="I9" s="2604"/>
      <c r="J9" s="2604"/>
      <c r="K9" s="2603"/>
      <c r="L9" s="1291"/>
      <c r="P9" s="2605"/>
      <c r="Q9" s="2605"/>
      <c r="R9" s="2661"/>
      <c r="S9" s="2659"/>
      <c r="T9" s="2679"/>
      <c r="U9" s="237"/>
      <c r="V9" s="1320"/>
      <c r="W9" s="1423"/>
      <c r="X9" s="1320"/>
      <c r="Y9" s="1423"/>
      <c r="Z9" s="1320"/>
      <c r="AA9" s="1320"/>
      <c r="AB9" s="1320"/>
      <c r="AC9" s="1320"/>
      <c r="AD9" s="2532"/>
      <c r="AE9" s="2654"/>
      <c r="AF9" s="2559"/>
      <c r="AG9" s="2677"/>
      <c r="AH9" s="2471"/>
      <c r="AI9" s="2654"/>
      <c r="AJ9" s="2559"/>
      <c r="AK9" s="2668"/>
      <c r="AL9" s="2471"/>
      <c r="AM9" s="2541"/>
      <c r="AN9" s="2559"/>
      <c r="AO9" s="2681"/>
      <c r="AP9" s="2683"/>
      <c r="AQ9" s="253"/>
      <c r="AR9" s="353"/>
      <c r="AS9" s="353" t="s">
        <v>581</v>
      </c>
      <c r="AT9" s="1320"/>
      <c r="AU9" s="1423"/>
      <c r="AV9" s="1320"/>
      <c r="AW9" s="1423"/>
      <c r="AX9" s="1320"/>
      <c r="AY9" s="1320"/>
      <c r="AZ9" s="1320"/>
      <c r="BA9" s="1320"/>
      <c r="BB9" s="1324"/>
      <c r="BC9" s="2625"/>
      <c r="BE9" s="437"/>
      <c r="BF9" s="437"/>
      <c r="BG9" s="437"/>
      <c r="BH9" s="437"/>
      <c r="BI9" s="1082">
        <v>0</v>
      </c>
    </row>
    <row r="10" spans="1:61" ht="11.25" hidden="1" customHeight="1">
      <c r="A10" s="1290"/>
      <c r="B10" s="1290"/>
      <c r="C10" s="1290"/>
      <c r="D10" s="1290"/>
      <c r="E10" s="2602"/>
      <c r="F10" s="2602"/>
      <c r="G10" s="2602"/>
      <c r="H10" s="2602"/>
      <c r="I10" s="2604"/>
      <c r="J10" s="2604"/>
      <c r="K10" s="2603"/>
      <c r="L10" s="1291"/>
      <c r="P10" s="2605"/>
      <c r="Q10" s="2605"/>
      <c r="R10" s="2661"/>
      <c r="S10" s="2659"/>
      <c r="T10" s="2679"/>
      <c r="U10" s="237"/>
      <c r="V10" s="1320"/>
      <c r="W10" s="1423"/>
      <c r="X10" s="1320"/>
      <c r="Y10" s="1423"/>
      <c r="Z10" s="1320"/>
      <c r="AA10" s="1320"/>
      <c r="AB10" s="1320"/>
      <c r="AC10" s="1320"/>
      <c r="AD10" s="2532"/>
      <c r="AE10" s="2654"/>
      <c r="AF10" s="2559"/>
      <c r="AG10" s="2677"/>
      <c r="AH10" s="2471"/>
      <c r="AI10" s="2654"/>
      <c r="AJ10" s="2559"/>
      <c r="AK10" s="2668"/>
      <c r="AL10" s="2471"/>
      <c r="AM10" s="253"/>
      <c r="AN10" s="1427"/>
      <c r="AO10" s="1427" t="s">
        <v>601</v>
      </c>
      <c r="AP10" s="353"/>
      <c r="AQ10" s="353"/>
      <c r="AR10" s="353"/>
      <c r="AS10" s="1320"/>
      <c r="AT10" s="1320"/>
      <c r="AU10" s="1423"/>
      <c r="AV10" s="1320"/>
      <c r="AW10" s="1423"/>
      <c r="AX10" s="1320"/>
      <c r="AY10" s="1320"/>
      <c r="AZ10" s="1320"/>
      <c r="BA10" s="1320"/>
      <c r="BB10" s="1324"/>
      <c r="BC10" s="2625"/>
      <c r="BE10" s="437"/>
      <c r="BF10" s="437"/>
      <c r="BG10" s="437"/>
      <c r="BH10" s="437"/>
      <c r="BI10" s="1082">
        <v>0</v>
      </c>
    </row>
    <row r="11" spans="1:61" ht="11.25" hidden="1" customHeight="1">
      <c r="A11" s="1290"/>
      <c r="B11" s="1290"/>
      <c r="C11" s="1290"/>
      <c r="D11" s="1290"/>
      <c r="E11" s="2602"/>
      <c r="F11" s="2602"/>
      <c r="G11" s="2602"/>
      <c r="H11" s="2602"/>
      <c r="I11" s="2604"/>
      <c r="J11" s="2604"/>
      <c r="K11" s="2603"/>
      <c r="L11" s="1291"/>
      <c r="P11" s="2605"/>
      <c r="Q11" s="2605"/>
      <c r="R11" s="2661"/>
      <c r="S11" s="2659"/>
      <c r="T11" s="2679"/>
      <c r="U11" s="237"/>
      <c r="V11" s="1320"/>
      <c r="W11" s="1423"/>
      <c r="X11" s="1320"/>
      <c r="Y11" s="1423"/>
      <c r="Z11" s="1320"/>
      <c r="AA11" s="1320"/>
      <c r="AB11" s="1320"/>
      <c r="AC11" s="1320"/>
      <c r="AD11" s="2532"/>
      <c r="AE11" s="2654"/>
      <c r="AF11" s="2559"/>
      <c r="AG11" s="2677"/>
      <c r="AH11" s="2471"/>
      <c r="AI11" s="231"/>
      <c r="AJ11" s="352"/>
      <c r="AK11" s="250" t="s">
        <v>602</v>
      </c>
      <c r="AL11" s="1320"/>
      <c r="AM11" s="1320"/>
      <c r="AN11" s="1320"/>
      <c r="AO11" s="1320"/>
      <c r="AP11" s="1320"/>
      <c r="AQ11" s="1320"/>
      <c r="AR11" s="1320"/>
      <c r="AS11" s="1320"/>
      <c r="AT11" s="1320"/>
      <c r="AU11" s="1423"/>
      <c r="AV11" s="1320"/>
      <c r="AW11" s="1423"/>
      <c r="AX11" s="1320"/>
      <c r="AY11" s="1320"/>
      <c r="AZ11" s="1320"/>
      <c r="BA11" s="1320"/>
      <c r="BB11" s="1324"/>
      <c r="BC11" s="2625"/>
      <c r="BE11" s="437"/>
      <c r="BF11" s="437"/>
      <c r="BG11" s="437"/>
      <c r="BH11" s="437"/>
      <c r="BI11" s="1082">
        <v>0</v>
      </c>
    </row>
    <row r="12" spans="1:61" ht="11.25" hidden="1" customHeight="1">
      <c r="A12" s="1290"/>
      <c r="B12" s="1290"/>
      <c r="C12" s="1290"/>
      <c r="D12" s="1290"/>
      <c r="E12" s="2602"/>
      <c r="F12" s="2602"/>
      <c r="G12" s="2602"/>
      <c r="H12" s="2602"/>
      <c r="I12" s="2604"/>
      <c r="J12" s="2604"/>
      <c r="K12" s="2603"/>
      <c r="L12" s="1291"/>
      <c r="P12" s="2605"/>
      <c r="Q12" s="2605"/>
      <c r="R12" s="2661"/>
      <c r="S12" s="2660"/>
      <c r="T12" s="2680"/>
      <c r="U12" s="237"/>
      <c r="V12" s="1320"/>
      <c r="W12" s="1321" t="str">
        <f>Z8&amp;"-"&amp;AB8</f>
        <v>-</v>
      </c>
      <c r="X12" s="1320"/>
      <c r="Y12" s="1321" t="str">
        <f>AB8&amp;"-"&amp;AD8</f>
        <v>-да</v>
      </c>
      <c r="Z12" s="1320"/>
      <c r="AA12" s="1320"/>
      <c r="AB12" s="1320"/>
      <c r="AC12" s="1320"/>
      <c r="AD12" s="2476"/>
      <c r="AE12" s="249"/>
      <c r="AF12" s="251"/>
      <c r="AG12" s="353" t="s">
        <v>584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25"/>
      <c r="BE12" s="437"/>
      <c r="BF12" s="437" t="str">
        <f t="shared" ref="BF12:BF18" si="1">IF(T12="","",T12)</f>
        <v/>
      </c>
      <c r="BG12" s="437"/>
      <c r="BH12" s="437"/>
      <c r="BI12" s="1082">
        <v>0</v>
      </c>
    </row>
    <row r="13" spans="1:61" ht="11.25" hidden="1" customHeight="1">
      <c r="A13" s="1290"/>
      <c r="B13" s="1290"/>
      <c r="C13" s="1290"/>
      <c r="D13" s="1290"/>
      <c r="E13" s="2602"/>
      <c r="F13" s="2602"/>
      <c r="G13" s="2602"/>
      <c r="H13" s="2602"/>
      <c r="I13" s="2604"/>
      <c r="J13" s="2603"/>
      <c r="K13" s="1290"/>
      <c r="L13" s="1291"/>
      <c r="P13" s="2605"/>
      <c r="Q13" s="2605"/>
      <c r="R13" s="293"/>
      <c r="S13" s="1205"/>
      <c r="T13" s="224" t="s">
        <v>545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26"/>
      <c r="BE13" s="437"/>
      <c r="BF13" s="437" t="str">
        <f t="shared" si="1"/>
        <v>Добавить строку</v>
      </c>
      <c r="BG13" s="437"/>
      <c r="BH13" s="437"/>
      <c r="BI13" s="1082">
        <v>0</v>
      </c>
    </row>
    <row r="14" spans="1:61" s="1569" customFormat="1" ht="14.25" hidden="1" customHeight="1">
      <c r="A14" s="1270"/>
      <c r="B14" s="1270"/>
      <c r="C14" s="1270"/>
      <c r="D14" s="1270"/>
      <c r="E14" s="2602"/>
      <c r="F14" s="2602"/>
      <c r="G14" s="2602"/>
      <c r="H14" s="2602"/>
      <c r="I14" s="2603"/>
      <c r="J14" s="1270"/>
      <c r="K14" s="1270"/>
      <c r="L14" s="1273"/>
      <c r="M14" s="447"/>
      <c r="N14" s="447"/>
      <c r="O14" s="447"/>
      <c r="P14" s="260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02"/>
      <c r="F15" s="2602"/>
      <c r="G15" s="2602"/>
      <c r="H15" s="260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02"/>
      <c r="F16" s="2602"/>
      <c r="G16" s="260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02"/>
      <c r="F17" s="2601"/>
      <c r="G17" s="1241"/>
      <c r="H17" s="1241"/>
      <c r="I17" s="1241"/>
      <c r="J17" s="1241"/>
      <c r="K17" s="1241"/>
      <c r="L17" s="1421"/>
      <c r="M17" s="1248"/>
      <c r="N17" s="1248"/>
      <c r="P17" s="1243"/>
      <c r="Q17" s="1244"/>
      <c r="R17" s="1243"/>
      <c r="S17" s="1249"/>
      <c r="T17" s="1252" t="s">
        <v>295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01"/>
      <c r="F18" s="1270"/>
      <c r="G18" s="1270"/>
      <c r="H18" s="1270"/>
      <c r="I18" s="1270"/>
      <c r="J18" s="1270"/>
      <c r="K18" s="1270"/>
      <c r="L18" s="1273"/>
      <c r="M18" s="1248"/>
      <c r="N18" s="1248"/>
      <c r="O18" s="455"/>
      <c r="P18" s="317"/>
      <c r="Q18" s="1271"/>
      <c r="R18" s="317"/>
      <c r="S18" s="1249"/>
      <c r="T18" s="1252" t="s">
        <v>299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66</v>
      </c>
      <c r="AZ20" s="1663"/>
      <c r="BA20" s="1412" t="s">
        <v>66</v>
      </c>
      <c r="BI20" s="1082">
        <v>0</v>
      </c>
    </row>
    <row r="21" spans="1:61" ht="14.25" hidden="1" customHeight="1">
      <c r="BD21" s="433"/>
      <c r="BE21" s="433"/>
      <c r="BF21" s="433"/>
      <c r="BG21" s="433"/>
      <c r="BH21" s="433"/>
      <c r="BI21" s="1082">
        <v>0</v>
      </c>
    </row>
    <row r="22" spans="1:61" ht="14.25" hidden="1" customHeight="1">
      <c r="O22" s="1294" t="s">
        <v>495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496</v>
      </c>
      <c r="P24" s="1435"/>
      <c r="Q24" s="1437"/>
      <c r="R24" s="1437"/>
      <c r="AA24" s="1434" t="s">
        <v>498</v>
      </c>
      <c r="AC24" s="1434" t="s">
        <v>499</v>
      </c>
      <c r="AD24" s="1434" t="s">
        <v>546</v>
      </c>
      <c r="AH24" s="1434" t="s">
        <v>546</v>
      </c>
      <c r="AK24" s="1434" t="s">
        <v>585</v>
      </c>
      <c r="AL24" s="1434" t="s">
        <v>546</v>
      </c>
      <c r="AP24" s="1434" t="s">
        <v>546</v>
      </c>
      <c r="AY24" s="1434" t="s">
        <v>498</v>
      </c>
      <c r="BA24" s="1434" t="s">
        <v>499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58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82"/>
      <c r="U28" s="2582"/>
      <c r="V28" s="2582"/>
      <c r="W28" s="2582"/>
      <c r="X28" s="2582"/>
      <c r="Y28" s="2582"/>
      <c r="Z28" s="2582"/>
      <c r="AA28" s="2582"/>
      <c r="AB28" s="2582"/>
      <c r="AC28" s="2582"/>
      <c r="AD28" s="2582"/>
      <c r="AE28" s="2582"/>
      <c r="AF28" s="2582"/>
      <c r="AG28" s="2582"/>
      <c r="AH28" s="2582"/>
      <c r="AI28" s="2582"/>
      <c r="AJ28" s="2582"/>
      <c r="AK28" s="2582"/>
      <c r="AL28" s="2582"/>
      <c r="AM28" s="2582"/>
      <c r="AN28" s="2582"/>
      <c r="AO28" s="2582"/>
      <c r="AP28" s="2582"/>
      <c r="AQ28" s="2582"/>
      <c r="AR28" s="2582"/>
      <c r="AS28" s="2582"/>
      <c r="AT28" s="2582"/>
      <c r="AU28" s="2582"/>
      <c r="AV28" s="2582"/>
      <c r="AW28" s="2582"/>
      <c r="AX28" s="2582"/>
      <c r="AY28" s="2582"/>
      <c r="AZ28" s="2582"/>
      <c r="BA28" s="1170"/>
      <c r="BI28" s="1082">
        <v>14</v>
      </c>
    </row>
    <row r="29" spans="1:61" ht="14.65" customHeight="1">
      <c r="Q29" s="228"/>
      <c r="R29" s="313"/>
      <c r="S29"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592" t="s">
        <v>42</v>
      </c>
      <c r="T31" s="2592"/>
      <c r="U31" s="1299"/>
      <c r="V31" s="2594" t="str">
        <f>IF(TITLE_NAME_OR_PR_CHANGE="",IF(TITLE_NAME_OR_PR="","",TITLE_NAME_OR_PR),TITLE_NAME_OR_PR_CHANGE)</f>
        <v>Региональная служба по тарифам Ростовской области</v>
      </c>
      <c r="W31" s="2594"/>
      <c r="X31" s="2594"/>
      <c r="Y31" s="2594"/>
      <c r="Z31" s="2594"/>
      <c r="AA31" s="2594"/>
      <c r="AB31" s="2594"/>
      <c r="AC31" s="263"/>
      <c r="AD31" s="2594" t="str">
        <f>IF(TITLE_NAME_OR_PR_CHANGE="",IF(TITLE_NAME_OR_PR="","",TITLE_NAME_OR_PR),TITLE_NAME_OR_PR_CHANGE)</f>
        <v>Региональная служба по тарифам Ростовской области</v>
      </c>
      <c r="AE31" s="2594"/>
      <c r="AF31" s="2594"/>
      <c r="AG31" s="2594"/>
      <c r="AH31" s="2594"/>
      <c r="AI31" s="2594"/>
      <c r="AJ31" s="2594"/>
      <c r="AK31" s="2594"/>
      <c r="AL31" s="2594"/>
      <c r="AM31" s="2594"/>
      <c r="AN31" s="2594"/>
      <c r="AO31" s="2594"/>
      <c r="AP31" s="2594"/>
      <c r="AQ31" s="2594"/>
      <c r="AR31" s="2594"/>
      <c r="AS31" s="2594"/>
      <c r="AT31" s="2594"/>
      <c r="AU31" s="2594"/>
      <c r="AV31" s="2594"/>
      <c r="AW31" s="2594"/>
      <c r="AX31" s="2594"/>
      <c r="AY31" s="2594"/>
      <c r="AZ31" s="2594"/>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592" t="s">
        <v>501</v>
      </c>
      <c r="T32" s="2592"/>
      <c r="U32" s="1299"/>
      <c r="V32" s="2593">
        <f>IF(TITLE_DATE_PR_CHANGE="",IF(TITLE_DATE_PR="","",TITLE_DATE_PR),TITLE_DATE_PR_CHANGE)</f>
        <v>45596.468541666669</v>
      </c>
      <c r="W32" s="2593"/>
      <c r="X32" s="2593"/>
      <c r="Y32" s="2593"/>
      <c r="Z32" s="2593"/>
      <c r="AA32" s="2593"/>
      <c r="AB32" s="2593"/>
      <c r="AC32" s="263"/>
      <c r="AD32" s="2593">
        <f>IF(TITLE_DATE_PR_CHANGE="",IF(TITLE_DATE_PR="","",TITLE_DATE_PR),TITLE_DATE_PR_CHANGE)</f>
        <v>45596.468541666669</v>
      </c>
      <c r="AE32" s="2593"/>
      <c r="AF32" s="2593"/>
      <c r="AG32" s="2593"/>
      <c r="AH32" s="2593"/>
      <c r="AI32" s="2593"/>
      <c r="AJ32" s="2593"/>
      <c r="AK32" s="2593"/>
      <c r="AL32" s="2593"/>
      <c r="AM32" s="2593"/>
      <c r="AN32" s="2593"/>
      <c r="AO32" s="2593"/>
      <c r="AP32" s="2593"/>
      <c r="AQ32" s="2593"/>
      <c r="AR32" s="2593"/>
      <c r="AS32" s="2593"/>
      <c r="AT32" s="2593"/>
      <c r="AU32" s="2593"/>
      <c r="AV32" s="2593"/>
      <c r="AW32" s="2593"/>
      <c r="AX32" s="2593"/>
      <c r="AY32" s="2593"/>
      <c r="AZ32" s="2593"/>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592" t="s">
        <v>502</v>
      </c>
      <c r="T33" s="2592"/>
      <c r="U33" s="1299"/>
      <c r="V33" s="2594" t="str">
        <f>IF(TITLE_NUMBER_PR_CHANGE="",IF(TITLE_NUMBER_PR="","",TITLE_NUMBER_PR),TITLE_NUMBER_PR_CHANGE)</f>
        <v>440,503</v>
      </c>
      <c r="W33" s="2594"/>
      <c r="X33" s="2594"/>
      <c r="Y33" s="2594"/>
      <c r="Z33" s="2594"/>
      <c r="AA33" s="2594"/>
      <c r="AB33" s="2594"/>
      <c r="AC33" s="263"/>
      <c r="AD33" s="2594" t="str">
        <f>IF(TITLE_NUMBER_PR_CHANGE="",IF(TITLE_NUMBER_PR="","",TITLE_NUMBER_PR),TITLE_NUMBER_PR_CHANGE)</f>
        <v>440,503</v>
      </c>
      <c r="AE33" s="2594"/>
      <c r="AF33" s="2594"/>
      <c r="AG33" s="2594"/>
      <c r="AH33" s="2594"/>
      <c r="AI33" s="2594"/>
      <c r="AJ33" s="2594"/>
      <c r="AK33" s="2594"/>
      <c r="AL33" s="2594"/>
      <c r="AM33" s="2594"/>
      <c r="AN33" s="2594"/>
      <c r="AO33" s="2594"/>
      <c r="AP33" s="2594"/>
      <c r="AQ33" s="2594"/>
      <c r="AR33" s="2594"/>
      <c r="AS33" s="2594"/>
      <c r="AT33" s="2594"/>
      <c r="AU33" s="2594"/>
      <c r="AV33" s="2594"/>
      <c r="AW33" s="2594"/>
      <c r="AX33" s="2594"/>
      <c r="AY33" s="2594"/>
      <c r="AZ33" s="2594"/>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592" t="s">
        <v>44</v>
      </c>
      <c r="T34" s="2592"/>
      <c r="U34" s="1299"/>
      <c r="V34" s="2594" t="str">
        <f>IF(TITLE_IST_PUB_CHANGE="",IF(TITLE_IST_PUB="","",TITLE_IST_PUB),TITLE_IST_PUB_CHANGE)</f>
        <v>Региональная служба по тарифам Ростовской области</v>
      </c>
      <c r="W34" s="2594"/>
      <c r="X34" s="2594"/>
      <c r="Y34" s="2594"/>
      <c r="Z34" s="2594"/>
      <c r="AA34" s="2594"/>
      <c r="AB34" s="2594"/>
      <c r="AC34" s="263"/>
      <c r="AD34" s="2594" t="str">
        <f>IF(TITLE_IST_PUB_CHANGE="",IF(TITLE_IST_PUB="","",TITLE_IST_PUB),TITLE_IST_PUB_CHANGE)</f>
        <v>Региональная служба по тарифам Ростовской области</v>
      </c>
      <c r="AE34" s="2594"/>
      <c r="AF34" s="2594"/>
      <c r="AG34" s="2594"/>
      <c r="AH34" s="2594"/>
      <c r="AI34" s="2594"/>
      <c r="AJ34" s="2594"/>
      <c r="AK34" s="2594"/>
      <c r="AL34" s="2594"/>
      <c r="AM34" s="2594"/>
      <c r="AN34" s="2594"/>
      <c r="AO34" s="2594"/>
      <c r="AP34" s="2594"/>
      <c r="AQ34" s="2594"/>
      <c r="AR34" s="2594"/>
      <c r="AS34" s="2594"/>
      <c r="AT34" s="2594"/>
      <c r="AU34" s="2594"/>
      <c r="AV34" s="2594"/>
      <c r="AW34" s="2594"/>
      <c r="AX34" s="2594"/>
      <c r="AY34" s="2594"/>
      <c r="AZ34" s="259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592" t="s">
        <v>501</v>
      </c>
      <c r="T36" s="2592"/>
      <c r="U36" s="1299"/>
      <c r="V36" s="2593">
        <f>IF(TITLE_DATE_PR_CHANGE="",IF(TITLE_DATE_PR="","",TITLE_DATE_PR),TITLE_DATE_PR_CHANGE)</f>
        <v>45596.468541666669</v>
      </c>
      <c r="W36" s="2593"/>
      <c r="X36" s="2593"/>
      <c r="Y36" s="2593"/>
      <c r="Z36" s="2593"/>
      <c r="AA36" s="2593"/>
      <c r="AB36" s="2593"/>
      <c r="AC36" s="263"/>
      <c r="AD36" s="2593">
        <f>IF(TITLE_DATE_PR_CHANGE="",IF(TITLE_DATE_PR="","",TITLE_DATE_PR),TITLE_DATE_PR_CHANGE)</f>
        <v>45596.468541666669</v>
      </c>
      <c r="AE36" s="2593"/>
      <c r="AF36" s="2593"/>
      <c r="AG36" s="2593"/>
      <c r="AH36" s="2593"/>
      <c r="AI36" s="2593"/>
      <c r="AJ36" s="2593"/>
      <c r="AK36" s="2593"/>
      <c r="AL36" s="2593"/>
      <c r="AM36" s="2593"/>
      <c r="AN36" s="2593"/>
      <c r="AO36" s="2593"/>
      <c r="AP36" s="2593"/>
      <c r="AQ36" s="2593"/>
      <c r="AR36" s="2593"/>
      <c r="AS36" s="2593"/>
      <c r="AT36" s="2593"/>
      <c r="AU36" s="2593"/>
      <c r="AV36" s="2593"/>
      <c r="AW36" s="2593"/>
      <c r="AX36" s="2593"/>
      <c r="AY36" s="2593"/>
      <c r="AZ36" s="259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592" t="s">
        <v>502</v>
      </c>
      <c r="T37" s="2592"/>
      <c r="U37" s="1299"/>
      <c r="V37" s="2594" t="str">
        <f>IF(TITLE_NUMBER_PR_CHANGE="",IF(TITLE_NUMBER_PR="","",TITLE_NUMBER_PR),TITLE_NUMBER_PR_CHANGE)</f>
        <v>440,503</v>
      </c>
      <c r="W37" s="2594"/>
      <c r="X37" s="2594"/>
      <c r="Y37" s="2594"/>
      <c r="Z37" s="2594"/>
      <c r="AA37" s="2594"/>
      <c r="AB37" s="2594"/>
      <c r="AC37" s="263"/>
      <c r="AD37" s="2594" t="str">
        <f>IF(TITLE_NUMBER_PR_CHANGE="",IF(TITLE_NUMBER_PR="","",TITLE_NUMBER_PR),TITLE_NUMBER_PR_CHANGE)</f>
        <v>440,503</v>
      </c>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259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505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505</v>
      </c>
      <c r="BD38" s="305"/>
      <c r="BE38" s="305"/>
      <c r="BF38" s="305"/>
      <c r="BG38" s="305"/>
      <c r="BH38" s="305"/>
      <c r="BI38" s="355">
        <v>0</v>
      </c>
    </row>
    <row r="39" spans="1:61" ht="14.65" customHeight="1">
      <c r="Q39" s="228"/>
      <c r="R39" s="313"/>
      <c r="S39" s="1202"/>
      <c r="T39" s="300"/>
      <c r="U39" s="1171"/>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c r="BA39" s="2613"/>
      <c r="BI39" s="1082">
        <v>14</v>
      </c>
    </row>
    <row r="40" spans="1:61" ht="14.65" customHeight="1">
      <c r="Q40" s="228"/>
      <c r="R40" s="313"/>
      <c r="S40" s="2461" t="s">
        <v>380</v>
      </c>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c r="AS40" s="2461"/>
      <c r="AT40" s="2461"/>
      <c r="AU40" s="2461"/>
      <c r="AV40" s="2461"/>
      <c r="AW40" s="2461"/>
      <c r="AX40" s="2461"/>
      <c r="AY40" s="2461"/>
      <c r="AZ40" s="2461"/>
      <c r="BA40" s="2461"/>
      <c r="BB40" s="2461"/>
      <c r="BC40" s="2461" t="s">
        <v>381</v>
      </c>
      <c r="BI40" s="1082">
        <v>14</v>
      </c>
    </row>
    <row r="41" spans="1:61" ht="14.65" customHeight="1">
      <c r="Q41" s="228"/>
      <c r="R41" s="313"/>
      <c r="S41" s="2614" t="s">
        <v>88</v>
      </c>
      <c r="T41" s="2563" t="s">
        <v>586</v>
      </c>
      <c r="U41" s="238"/>
      <c r="V41" s="2615" t="s">
        <v>507</v>
      </c>
      <c r="W41" s="2616"/>
      <c r="X41" s="2616"/>
      <c r="Y41" s="2616"/>
      <c r="Z41" s="2616"/>
      <c r="AA41" s="2616"/>
      <c r="AB41" s="2617"/>
      <c r="AC41" s="2618" t="s">
        <v>508</v>
      </c>
      <c r="AD41" s="2647" t="s">
        <v>603</v>
      </c>
      <c r="AE41" s="2631"/>
      <c r="AF41" s="2631"/>
      <c r="AG41" s="2648"/>
      <c r="AH41" s="2647" t="s">
        <v>604</v>
      </c>
      <c r="AI41" s="2631"/>
      <c r="AJ41" s="2631"/>
      <c r="AK41" s="2648"/>
      <c r="AL41" s="2647" t="s">
        <v>605</v>
      </c>
      <c r="AM41" s="2631"/>
      <c r="AN41" s="2631"/>
      <c r="AO41" s="2648"/>
      <c r="AP41" s="2647" t="s">
        <v>590</v>
      </c>
      <c r="AQ41" s="2631"/>
      <c r="AR41" s="2631"/>
      <c r="AS41" s="2648"/>
      <c r="AT41" s="2615" t="s">
        <v>507</v>
      </c>
      <c r="AU41" s="2616"/>
      <c r="AV41" s="2616"/>
      <c r="AW41" s="2616"/>
      <c r="AX41" s="2616"/>
      <c r="AY41" s="2616"/>
      <c r="AZ41" s="2617"/>
      <c r="BA41" s="2618" t="s">
        <v>508</v>
      </c>
      <c r="BB41" s="2621" t="s">
        <v>510</v>
      </c>
      <c r="BC41" s="2461"/>
      <c r="BI41" s="1082">
        <v>14</v>
      </c>
    </row>
    <row r="42" spans="1:61" ht="35.65" customHeight="1">
      <c r="Q42" s="228"/>
      <c r="R42" s="313"/>
      <c r="S42" s="2614"/>
      <c r="T42" s="2563"/>
      <c r="U42" s="961"/>
      <c r="V42" s="2536" t="s">
        <v>591</v>
      </c>
      <c r="W42" s="2537"/>
      <c r="X42" s="2536" t="s">
        <v>592</v>
      </c>
      <c r="Y42" s="2537"/>
      <c r="Z42" s="2536" t="s">
        <v>593</v>
      </c>
      <c r="AA42" s="2643"/>
      <c r="AB42" s="2537"/>
      <c r="AC42" s="2619"/>
      <c r="AD42" s="2649"/>
      <c r="AE42" s="2650"/>
      <c r="AF42" s="2650"/>
      <c r="AG42" s="2662"/>
      <c r="AH42" s="2649"/>
      <c r="AI42" s="2650"/>
      <c r="AJ42" s="2650"/>
      <c r="AK42" s="2662"/>
      <c r="AL42" s="2649"/>
      <c r="AM42" s="2650"/>
      <c r="AN42" s="2650"/>
      <c r="AO42" s="2662"/>
      <c r="AP42" s="2649"/>
      <c r="AQ42" s="2650"/>
      <c r="AR42" s="2650"/>
      <c r="AS42" s="2662"/>
      <c r="AT42" s="2536" t="s">
        <v>606</v>
      </c>
      <c r="AU42" s="2537"/>
      <c r="AV42" s="2536" t="s">
        <v>607</v>
      </c>
      <c r="AW42" s="2537"/>
      <c r="AX42" s="2536" t="s">
        <v>593</v>
      </c>
      <c r="AY42" s="2643"/>
      <c r="AZ42" s="2537"/>
      <c r="BA42" s="2619"/>
      <c r="BB42" s="2622"/>
      <c r="BC42" s="2461"/>
      <c r="BI42" s="1082">
        <v>34</v>
      </c>
    </row>
    <row r="43" spans="1:61" ht="14.65" customHeight="1">
      <c r="Q43" s="228"/>
      <c r="R43" s="313"/>
      <c r="S43" s="2614"/>
      <c r="T43" s="2563"/>
      <c r="U43" s="961"/>
      <c r="V43" s="2541"/>
      <c r="W43" s="2542"/>
      <c r="X43" s="2541"/>
      <c r="Y43" s="2542"/>
      <c r="Z43" s="2541"/>
      <c r="AA43" s="2644"/>
      <c r="AB43" s="2542"/>
      <c r="AC43" s="2619"/>
      <c r="AD43" s="2649"/>
      <c r="AE43" s="2650"/>
      <c r="AF43" s="2650"/>
      <c r="AG43" s="2662"/>
      <c r="AH43" s="2649"/>
      <c r="AI43" s="2650"/>
      <c r="AJ43" s="2650"/>
      <c r="AK43" s="2662"/>
      <c r="AL43" s="2649"/>
      <c r="AM43" s="2650"/>
      <c r="AN43" s="2650"/>
      <c r="AO43" s="2662"/>
      <c r="AP43" s="2649"/>
      <c r="AQ43" s="2650"/>
      <c r="AR43" s="2650"/>
      <c r="AS43" s="2662"/>
      <c r="AT43" s="2541"/>
      <c r="AU43" s="2542"/>
      <c r="AV43" s="2541"/>
      <c r="AW43" s="2542"/>
      <c r="AX43" s="2541"/>
      <c r="AY43" s="2644"/>
      <c r="AZ43" s="2542"/>
      <c r="BA43" s="2619"/>
      <c r="BB43" s="2622"/>
      <c r="BC43" s="2461"/>
      <c r="BI43" s="1082">
        <v>14</v>
      </c>
    </row>
    <row r="44" spans="1:61" ht="14.65" customHeight="1">
      <c r="A44" s="1297"/>
      <c r="B44" s="1297" t="s">
        <v>201</v>
      </c>
      <c r="C44" s="1297" t="s">
        <v>202</v>
      </c>
      <c r="D44" s="1297" t="s">
        <v>203</v>
      </c>
      <c r="E44" s="1291" t="s">
        <v>515</v>
      </c>
      <c r="F44" s="1291" t="s">
        <v>516</v>
      </c>
      <c r="G44" s="1291" t="s">
        <v>517</v>
      </c>
      <c r="H44" s="1291" t="s">
        <v>518</v>
      </c>
      <c r="I44" s="1291" t="s">
        <v>519</v>
      </c>
      <c r="J44" s="1291" t="s">
        <v>520</v>
      </c>
      <c r="K44" s="1291" t="s">
        <v>521</v>
      </c>
      <c r="L44" s="1291" t="s">
        <v>496</v>
      </c>
      <c r="Q44" s="228"/>
      <c r="R44" s="313"/>
      <c r="S44" s="2614"/>
      <c r="T44" s="2563"/>
      <c r="U44" s="239"/>
      <c r="V44" s="1406" t="s">
        <v>555</v>
      </c>
      <c r="W44" s="1406" t="s">
        <v>556</v>
      </c>
      <c r="X44" s="1406" t="s">
        <v>555</v>
      </c>
      <c r="Y44" s="1406" t="s">
        <v>556</v>
      </c>
      <c r="Z44" s="1416" t="s">
        <v>524</v>
      </c>
      <c r="AA44" s="2568" t="s">
        <v>525</v>
      </c>
      <c r="AB44" s="2581"/>
      <c r="AC44" s="2620"/>
      <c r="AD44" s="2651"/>
      <c r="AE44" s="2652"/>
      <c r="AF44" s="2652"/>
      <c r="AG44" s="2653"/>
      <c r="AH44" s="2651"/>
      <c r="AI44" s="2652"/>
      <c r="AJ44" s="2652"/>
      <c r="AK44" s="2653"/>
      <c r="AL44" s="2651"/>
      <c r="AM44" s="2652"/>
      <c r="AN44" s="2652"/>
      <c r="AO44" s="2653"/>
      <c r="AP44" s="2651"/>
      <c r="AQ44" s="2652"/>
      <c r="AR44" s="2652"/>
      <c r="AS44" s="2653"/>
      <c r="AT44" s="1406" t="s">
        <v>555</v>
      </c>
      <c r="AU44" s="1406" t="s">
        <v>556</v>
      </c>
      <c r="AV44" s="1406" t="s">
        <v>555</v>
      </c>
      <c r="AW44" s="1406" t="s">
        <v>556</v>
      </c>
      <c r="AX44" s="1416" t="s">
        <v>524</v>
      </c>
      <c r="AY44" s="2568" t="s">
        <v>525</v>
      </c>
      <c r="AZ44" s="2581"/>
      <c r="BA44" s="2620"/>
      <c r="BB44" s="2623"/>
      <c r="BC44" s="246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177</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612">
        <f t="shared" ca="1" si="2"/>
        <v>8</v>
      </c>
      <c r="AB45" s="261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612">
        <f ca="1">OFFSET(AY45,0,-1)+1</f>
        <v>3</v>
      </c>
      <c r="AZ45" s="2612"/>
      <c r="BA45" s="1409">
        <f ca="1">OFFSET(BA45,0,-2)+1</f>
        <v>4</v>
      </c>
      <c r="BB45" s="1172">
        <f ca="1">OFFSET(BB45,0,-1)</f>
        <v>4</v>
      </c>
      <c r="BC45" s="1409">
        <f ca="1">OFFSET(BC45,0,-1)+1</f>
        <v>5</v>
      </c>
      <c r="BD45" s="448"/>
      <c r="BE45" s="448"/>
      <c r="BF45" s="448"/>
      <c r="BG45" s="448"/>
      <c r="BH45" s="448"/>
      <c r="BI45" s="433">
        <v>0</v>
      </c>
    </row>
    <row r="46" spans="1:61" ht="21.95" customHeight="1">
      <c r="A46" s="1290" t="s">
        <v>356</v>
      </c>
      <c r="B46" s="1290"/>
      <c r="C46" s="1290"/>
      <c r="D46" s="1290"/>
      <c r="E46" s="260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189</v>
      </c>
      <c r="U46" s="237"/>
      <c r="V46" s="2596"/>
      <c r="W46" s="2596"/>
      <c r="X46" s="2596"/>
      <c r="Y46" s="2596"/>
      <c r="Z46" s="2596"/>
      <c r="AA46" s="2596"/>
      <c r="AB46" s="2596"/>
      <c r="AC46" s="2597"/>
      <c r="AD46" s="2595" t="str">
        <f>INDEX(PT_DIFFERENTIATION_NTAR,MATCH(A46,PT_DIFFERENTIATION_NTAR_ID,0))</f>
        <v/>
      </c>
      <c r="AE46" s="2596"/>
      <c r="AF46" s="2596"/>
      <c r="AG46" s="2596"/>
      <c r="AH46" s="2596"/>
      <c r="AI46" s="2596"/>
      <c r="AJ46" s="2596"/>
      <c r="AK46" s="2596"/>
      <c r="AL46" s="2596"/>
      <c r="AM46" s="2596"/>
      <c r="AN46" s="2596"/>
      <c r="AO46" s="2596"/>
      <c r="AP46" s="2596"/>
      <c r="AQ46" s="2596"/>
      <c r="AR46" s="2596"/>
      <c r="AS46" s="2596"/>
      <c r="AT46" s="2596"/>
      <c r="AU46" s="2596"/>
      <c r="AV46" s="2596"/>
      <c r="AW46" s="2596"/>
      <c r="AX46" s="2596"/>
      <c r="AY46" s="2596"/>
      <c r="AZ46" s="2596"/>
      <c r="BA46" s="2596"/>
      <c r="BB46" s="259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356</v>
      </c>
      <c r="B47" s="1290" t="s">
        <v>357</v>
      </c>
      <c r="C47" s="1290"/>
      <c r="D47" s="1290"/>
      <c r="E47" s="2602"/>
      <c r="F47" s="2601">
        <v>1</v>
      </c>
      <c r="G47" s="1290"/>
      <c r="H47" s="1290"/>
      <c r="I47" s="1290"/>
      <c r="J47" s="1290"/>
      <c r="K47" s="1290"/>
      <c r="L47" s="1291"/>
      <c r="M47" s="1292"/>
      <c r="N47" s="1292"/>
      <c r="O47" s="1292"/>
      <c r="P47" s="1337"/>
      <c r="Q47" s="1338"/>
      <c r="R47" s="290"/>
      <c r="S47" s="1420" t="str">
        <f>INDEX(PT_DIFFERENTIATION_NUM_TER,MATCH(B47,PT_DIFFERENTIATION_TER_ID,0))</f>
        <v>.</v>
      </c>
      <c r="T47" s="245" t="s">
        <v>477</v>
      </c>
      <c r="U47" s="237"/>
      <c r="V47" s="2596"/>
      <c r="W47" s="2596"/>
      <c r="X47" s="2596"/>
      <c r="Y47" s="2596"/>
      <c r="Z47" s="2596"/>
      <c r="AA47" s="2596"/>
      <c r="AB47" s="2596"/>
      <c r="AC47" s="2597"/>
      <c r="AD47" s="2595" t="str">
        <f>INDEX(PT_DIFFERENTIATION_TER,MATCH(B47,PT_DIFFERENTIATION_TER_ID,0))</f>
        <v/>
      </c>
      <c r="AE47" s="2596"/>
      <c r="AF47" s="2596"/>
      <c r="AG47" s="2596"/>
      <c r="AH47" s="2596"/>
      <c r="AI47" s="2596"/>
      <c r="AJ47" s="2596"/>
      <c r="AK47" s="2596"/>
      <c r="AL47" s="2596"/>
      <c r="AM47" s="2596"/>
      <c r="AN47" s="2596"/>
      <c r="AO47" s="2596"/>
      <c r="AP47" s="2596"/>
      <c r="AQ47" s="2596"/>
      <c r="AR47" s="2596"/>
      <c r="AS47" s="2596"/>
      <c r="AT47" s="2596"/>
      <c r="AU47" s="2596"/>
      <c r="AV47" s="2596"/>
      <c r="AW47" s="2596"/>
      <c r="AX47" s="2596"/>
      <c r="AY47" s="2596"/>
      <c r="AZ47" s="2596"/>
      <c r="BA47" s="2596"/>
      <c r="BB47" s="2597"/>
      <c r="BC47" s="1185" t="s">
        <v>478</v>
      </c>
      <c r="BE47" s="437"/>
      <c r="BF47" s="437" t="str">
        <f t="shared" si="3"/>
        <v>Территория действия тарифа</v>
      </c>
      <c r="BG47" s="437"/>
      <c r="BH47" s="437"/>
      <c r="BI47" s="1082">
        <v>21</v>
      </c>
    </row>
    <row r="48" spans="1:61" ht="35.65" customHeight="1">
      <c r="A48" s="1290" t="s">
        <v>356</v>
      </c>
      <c r="B48" s="1290" t="s">
        <v>357</v>
      </c>
      <c r="C48" s="1290" t="s">
        <v>358</v>
      </c>
      <c r="D48" s="1290"/>
      <c r="E48" s="2602"/>
      <c r="F48" s="2602"/>
      <c r="G48" s="2601">
        <v>1</v>
      </c>
      <c r="H48" s="1290"/>
      <c r="I48" s="1290"/>
      <c r="J48" s="1290"/>
      <c r="K48" s="1290"/>
      <c r="L48" s="1291"/>
      <c r="M48" s="1292"/>
      <c r="N48" s="1292"/>
      <c r="O48" s="1292"/>
      <c r="P48" s="1339"/>
      <c r="Q48" s="1338"/>
      <c r="R48" s="290"/>
      <c r="S48" s="1420" t="str">
        <f>INDEX(PT_DIFFERENTIATION_NUM_CS,MATCH(C48,PT_DIFFERENTIATION_CS_ID,0))</f>
        <v>..</v>
      </c>
      <c r="T48" s="246" t="s">
        <v>595</v>
      </c>
      <c r="U48" s="237"/>
      <c r="V48" s="2596"/>
      <c r="W48" s="2596"/>
      <c r="X48" s="2596"/>
      <c r="Y48" s="2596"/>
      <c r="Z48" s="2596"/>
      <c r="AA48" s="2596"/>
      <c r="AB48" s="2596"/>
      <c r="AC48" s="2597"/>
      <c r="AD48" s="2595" t="str">
        <f>INDEX(PT_DIFFERENTIATION_CS,MATCH(C48,PT_DIFFERENTIATION_CS_ID,0))</f>
        <v/>
      </c>
      <c r="AE48" s="2596"/>
      <c r="AF48" s="2596"/>
      <c r="AG48" s="2596"/>
      <c r="AH48" s="2596"/>
      <c r="AI48" s="2596"/>
      <c r="AJ48" s="2596"/>
      <c r="AK48" s="2596"/>
      <c r="AL48" s="2596"/>
      <c r="AM48" s="2596"/>
      <c r="AN48" s="2596"/>
      <c r="AO48" s="2596"/>
      <c r="AP48" s="2596"/>
      <c r="AQ48" s="2596"/>
      <c r="AR48" s="2596"/>
      <c r="AS48" s="2596"/>
      <c r="AT48" s="2596"/>
      <c r="AU48" s="2596"/>
      <c r="AV48" s="2596"/>
      <c r="AW48" s="2596"/>
      <c r="AX48" s="2596"/>
      <c r="AY48" s="2596"/>
      <c r="AZ48" s="2596"/>
      <c r="BA48" s="2596"/>
      <c r="BB48" s="2597"/>
      <c r="BC48" s="1185" t="s">
        <v>596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356</v>
      </c>
      <c r="B49" s="1270" t="s">
        <v>357</v>
      </c>
      <c r="C49" s="1270" t="s">
        <v>358</v>
      </c>
      <c r="D49" s="1270" t="s">
        <v>608</v>
      </c>
      <c r="E49" s="2602"/>
      <c r="F49" s="2602"/>
      <c r="G49" s="2602"/>
      <c r="H49" s="2601">
        <v>1</v>
      </c>
      <c r="I49" s="1270"/>
      <c r="J49" s="1270"/>
      <c r="K49" s="1270"/>
      <c r="L49" s="1273"/>
      <c r="M49" s="1242"/>
      <c r="N49" s="1242"/>
      <c r="O49" s="1242"/>
      <c r="P49" s="1424"/>
      <c r="Q49" s="1425"/>
      <c r="R49" s="294"/>
      <c r="S49" s="972"/>
      <c r="T49" s="1426"/>
      <c r="U49" s="1311"/>
      <c r="V49" s="2633"/>
      <c r="W49" s="2633"/>
      <c r="X49" s="2633"/>
      <c r="Y49" s="2633"/>
      <c r="Z49" s="2633"/>
      <c r="AA49" s="2633"/>
      <c r="AB49" s="2633"/>
      <c r="AC49" s="2634"/>
      <c r="AD49" s="2632"/>
      <c r="AE49" s="2633"/>
      <c r="AF49" s="2633"/>
      <c r="AG49" s="2633"/>
      <c r="AH49" s="2633"/>
      <c r="AI49" s="2633"/>
      <c r="AJ49" s="2633"/>
      <c r="AK49" s="2633"/>
      <c r="AL49" s="2633"/>
      <c r="AM49" s="2633"/>
      <c r="AN49" s="2633"/>
      <c r="AO49" s="2633"/>
      <c r="AP49" s="2633"/>
      <c r="AQ49" s="2633"/>
      <c r="AR49" s="2633"/>
      <c r="AS49" s="2633"/>
      <c r="AT49" s="2633"/>
      <c r="AU49" s="2633"/>
      <c r="AV49" s="2633"/>
      <c r="AW49" s="2633"/>
      <c r="AX49" s="2633"/>
      <c r="AY49" s="2633"/>
      <c r="AZ49" s="2633"/>
      <c r="BA49" s="2633"/>
      <c r="BB49" s="2634"/>
      <c r="BC49" s="1312" t="s">
        <v>482</v>
      </c>
      <c r="BE49" s="437"/>
      <c r="BF49" s="437" t="str">
        <f t="shared" si="3"/>
        <v/>
      </c>
      <c r="BG49" s="437"/>
      <c r="BH49" s="437"/>
      <c r="BI49" s="448">
        <v>0</v>
      </c>
    </row>
    <row r="50" spans="1:61" s="1569" customFormat="1" ht="0" hidden="1" customHeight="1">
      <c r="A50" s="1270" t="s">
        <v>356</v>
      </c>
      <c r="B50" s="1270" t="s">
        <v>357</v>
      </c>
      <c r="C50" s="1270" t="s">
        <v>358</v>
      </c>
      <c r="D50" s="1270" t="s">
        <v>608</v>
      </c>
      <c r="E50" s="2602"/>
      <c r="F50" s="2602"/>
      <c r="G50" s="2602"/>
      <c r="H50" s="2602"/>
      <c r="I50" s="2603" t="str">
        <f>S49&amp;".1"</f>
        <v>.1</v>
      </c>
      <c r="J50" s="1270"/>
      <c r="K50" s="1270"/>
      <c r="L50" s="1273" t="s">
        <v>483</v>
      </c>
      <c r="M50" s="447"/>
      <c r="N50" s="447"/>
      <c r="O50" s="447"/>
      <c r="P50" s="2605">
        <v>1</v>
      </c>
      <c r="Q50" s="1408"/>
      <c r="R50" s="293"/>
      <c r="S50" s="972"/>
      <c r="T50" s="1310"/>
      <c r="U50" s="1311"/>
      <c r="V50" s="2633"/>
      <c r="W50" s="2633"/>
      <c r="X50" s="2633"/>
      <c r="Y50" s="2633"/>
      <c r="Z50" s="2633"/>
      <c r="AA50" s="2633"/>
      <c r="AB50" s="2633"/>
      <c r="AC50" s="2634"/>
      <c r="AD50" s="2632"/>
      <c r="AE50" s="2633"/>
      <c r="AF50" s="2633"/>
      <c r="AG50" s="2633"/>
      <c r="AH50" s="2633"/>
      <c r="AI50" s="2633"/>
      <c r="AJ50" s="2633"/>
      <c r="AK50" s="2633"/>
      <c r="AL50" s="2633"/>
      <c r="AM50" s="2633"/>
      <c r="AN50" s="2633"/>
      <c r="AO50" s="2633"/>
      <c r="AP50" s="2633"/>
      <c r="AQ50" s="2633"/>
      <c r="AR50" s="2633"/>
      <c r="AS50" s="2633"/>
      <c r="AT50" s="2633"/>
      <c r="AU50" s="2633"/>
      <c r="AV50" s="2633"/>
      <c r="AW50" s="2633"/>
      <c r="AX50" s="2633"/>
      <c r="AY50" s="2633"/>
      <c r="AZ50" s="2633"/>
      <c r="BA50" s="2633"/>
      <c r="BB50" s="2634"/>
      <c r="BC50" s="1312"/>
      <c r="BE50" s="437"/>
      <c r="BF50" s="437" t="str">
        <f t="shared" si="3"/>
        <v/>
      </c>
      <c r="BG50" s="437"/>
      <c r="BH50" s="437"/>
      <c r="BI50" s="448">
        <v>0</v>
      </c>
    </row>
    <row r="51" spans="1:61" s="1569" customFormat="1" ht="0" hidden="1" customHeight="1">
      <c r="A51" s="1270" t="s">
        <v>356</v>
      </c>
      <c r="B51" s="1270" t="s">
        <v>357</v>
      </c>
      <c r="C51" s="1270" t="s">
        <v>358</v>
      </c>
      <c r="D51" s="1270" t="s">
        <v>608</v>
      </c>
      <c r="E51" s="2602"/>
      <c r="F51" s="2602"/>
      <c r="G51" s="2602"/>
      <c r="H51" s="2602"/>
      <c r="I51" s="2604"/>
      <c r="J51" s="2603" t="str">
        <f>S49&amp;".1"</f>
        <v>.1</v>
      </c>
      <c r="K51" s="1270"/>
      <c r="L51" s="1273"/>
      <c r="M51" s="447"/>
      <c r="N51" s="447"/>
      <c r="O51" s="447"/>
      <c r="P51" s="2605"/>
      <c r="Q51" s="2605">
        <v>1</v>
      </c>
      <c r="R51" s="294"/>
      <c r="S51" s="972"/>
      <c r="T51" s="1326"/>
      <c r="U51" s="1311"/>
      <c r="V51" s="2633"/>
      <c r="W51" s="2633"/>
      <c r="X51" s="2633"/>
      <c r="Y51" s="2633"/>
      <c r="Z51" s="2633"/>
      <c r="AA51" s="2633"/>
      <c r="AB51" s="2633"/>
      <c r="AC51" s="2634"/>
      <c r="AD51" s="2632"/>
      <c r="AE51" s="2633"/>
      <c r="AF51" s="2633"/>
      <c r="AG51" s="2633"/>
      <c r="AH51" s="2633"/>
      <c r="AI51" s="2633"/>
      <c r="AJ51" s="2633"/>
      <c r="AK51" s="2633"/>
      <c r="AL51" s="2633"/>
      <c r="AM51" s="2633"/>
      <c r="AN51" s="2684"/>
      <c r="AO51" s="2684"/>
      <c r="AP51" s="2633"/>
      <c r="AQ51" s="2633"/>
      <c r="AR51" s="2633"/>
      <c r="AS51" s="2633"/>
      <c r="AT51" s="2633"/>
      <c r="AU51" s="2633"/>
      <c r="AV51" s="2633"/>
      <c r="AW51" s="2633"/>
      <c r="AX51" s="2633"/>
      <c r="AY51" s="2633"/>
      <c r="AZ51" s="2633"/>
      <c r="BA51" s="2633"/>
      <c r="BB51" s="2634"/>
      <c r="BC51" s="1312"/>
      <c r="BE51" s="437"/>
      <c r="BF51" s="437" t="str">
        <f t="shared" si="3"/>
        <v/>
      </c>
      <c r="BG51" s="437"/>
      <c r="BH51" s="437"/>
      <c r="BI51" s="448">
        <v>0</v>
      </c>
    </row>
    <row r="52" spans="1:61" ht="11.45" customHeight="1">
      <c r="A52" s="1290" t="s">
        <v>356</v>
      </c>
      <c r="B52" s="1290" t="s">
        <v>357</v>
      </c>
      <c r="C52" s="1290" t="s">
        <v>358</v>
      </c>
      <c r="D52" s="1290" t="s">
        <v>608</v>
      </c>
      <c r="E52" s="2602"/>
      <c r="F52" s="2602"/>
      <c r="G52" s="2602"/>
      <c r="H52" s="2602"/>
      <c r="I52" s="2604"/>
      <c r="J52" s="2604"/>
      <c r="K52" s="2603" t="str">
        <f>S48&amp;".1"</f>
        <v>...1</v>
      </c>
      <c r="L52" s="1291"/>
      <c r="P52" s="2605"/>
      <c r="Q52" s="2605"/>
      <c r="R52" s="294">
        <v>1</v>
      </c>
      <c r="S52" s="2658" t="str">
        <f>$K52</f>
        <v>...1</v>
      </c>
      <c r="T52" s="2678"/>
      <c r="U52" s="237"/>
      <c r="V52" s="688"/>
      <c r="W52" s="1184"/>
      <c r="X52" s="688"/>
      <c r="Y52" s="1184"/>
      <c r="Z52" s="1661"/>
      <c r="AA52" s="1396" t="s">
        <v>66</v>
      </c>
      <c r="AB52" s="1661"/>
      <c r="AC52" s="1396" t="s">
        <v>66</v>
      </c>
      <c r="AD52" s="2531" t="s">
        <v>66</v>
      </c>
      <c r="AE52" s="2654"/>
      <c r="AF52" s="2559">
        <v>1</v>
      </c>
      <c r="AG52" s="2677"/>
      <c r="AH52" s="2471" t="s">
        <v>66</v>
      </c>
      <c r="AI52" s="2654"/>
      <c r="AJ52" s="2559">
        <v>1</v>
      </c>
      <c r="AK52" s="2668" t="s">
        <v>28</v>
      </c>
      <c r="AL52" s="2471" t="s">
        <v>66</v>
      </c>
      <c r="AM52" s="2536"/>
      <c r="AN52" s="2559">
        <v>1</v>
      </c>
      <c r="AO52" s="2681"/>
      <c r="AP52" s="2682" t="s">
        <v>66</v>
      </c>
      <c r="AQ52" s="248"/>
      <c r="AR52" s="1413">
        <v>1</v>
      </c>
      <c r="AS52" s="1419" t="s">
        <v>28</v>
      </c>
      <c r="AT52" s="688"/>
      <c r="AU52" s="1184"/>
      <c r="AV52" s="688"/>
      <c r="AW52" s="1184"/>
      <c r="AX52" s="1661"/>
      <c r="AY52" s="1396" t="s">
        <v>66</v>
      </c>
      <c r="AZ52" s="1661"/>
      <c r="BA52" s="1396" t="s">
        <v>66</v>
      </c>
      <c r="BB52" s="1275"/>
      <c r="BC52" s="2624" t="s">
        <v>580</v>
      </c>
      <c r="BE52" s="437"/>
      <c r="BF52" s="437" t="str">
        <f t="shared" si="3"/>
        <v/>
      </c>
      <c r="BG52" s="437"/>
      <c r="BH52" s="437"/>
      <c r="BI52" s="1082">
        <v>11</v>
      </c>
    </row>
    <row r="53" spans="1:61" ht="11.45" customHeight="1">
      <c r="A53" s="1290"/>
      <c r="B53" s="1290"/>
      <c r="C53" s="1290"/>
      <c r="D53" s="1290"/>
      <c r="E53" s="2602"/>
      <c r="F53" s="2602"/>
      <c r="G53" s="2602"/>
      <c r="H53" s="2602"/>
      <c r="I53" s="2604"/>
      <c r="J53" s="2604"/>
      <c r="K53" s="2603"/>
      <c r="L53" s="1291"/>
      <c r="P53" s="2605"/>
      <c r="Q53" s="2605"/>
      <c r="R53" s="294"/>
      <c r="S53" s="2659"/>
      <c r="T53" s="2679"/>
      <c r="U53" s="237"/>
      <c r="V53" s="1320"/>
      <c r="W53" s="1423"/>
      <c r="X53" s="1320"/>
      <c r="Y53" s="1423"/>
      <c r="Z53" s="1320"/>
      <c r="AA53" s="1320"/>
      <c r="AB53" s="1320"/>
      <c r="AC53" s="1320"/>
      <c r="AD53" s="2532"/>
      <c r="AE53" s="2654"/>
      <c r="AF53" s="2559"/>
      <c r="AG53" s="2677"/>
      <c r="AH53" s="2471"/>
      <c r="AI53" s="2654"/>
      <c r="AJ53" s="2559"/>
      <c r="AK53" s="2668"/>
      <c r="AL53" s="2471"/>
      <c r="AM53" s="2541"/>
      <c r="AN53" s="2559"/>
      <c r="AO53" s="2681"/>
      <c r="AP53" s="2683"/>
      <c r="AQ53" s="253"/>
      <c r="AR53" s="353"/>
      <c r="AS53" s="353" t="s">
        <v>581</v>
      </c>
      <c r="AT53" s="1320"/>
      <c r="AU53" s="1423"/>
      <c r="AV53" s="1320"/>
      <c r="AW53" s="1423"/>
      <c r="AX53" s="1320"/>
      <c r="AY53" s="1320"/>
      <c r="AZ53" s="1320"/>
      <c r="BA53" s="1320"/>
      <c r="BB53" s="1324"/>
      <c r="BC53" s="2625"/>
      <c r="BE53" s="437"/>
      <c r="BF53" s="437"/>
      <c r="BG53" s="437"/>
      <c r="BH53" s="437"/>
      <c r="BI53" s="1082">
        <v>11</v>
      </c>
    </row>
    <row r="54" spans="1:61" ht="11.45" customHeight="1">
      <c r="A54" s="1290" t="s">
        <v>356</v>
      </c>
      <c r="B54" s="1290"/>
      <c r="C54" s="1290"/>
      <c r="D54" s="1290"/>
      <c r="E54" s="2602"/>
      <c r="F54" s="2602"/>
      <c r="G54" s="2602"/>
      <c r="H54" s="2602"/>
      <c r="I54" s="2604"/>
      <c r="J54" s="2604"/>
      <c r="K54" s="2603"/>
      <c r="L54" s="1291"/>
      <c r="P54" s="2605"/>
      <c r="Q54" s="2605"/>
      <c r="R54" s="294"/>
      <c r="S54" s="2659"/>
      <c r="T54" s="2679"/>
      <c r="U54" s="237"/>
      <c r="V54" s="1320"/>
      <c r="W54" s="1423"/>
      <c r="X54" s="1320"/>
      <c r="Y54" s="1423"/>
      <c r="Z54" s="1320"/>
      <c r="AA54" s="1320"/>
      <c r="AB54" s="1320"/>
      <c r="AC54" s="1320"/>
      <c r="AD54" s="2532"/>
      <c r="AE54" s="2654"/>
      <c r="AF54" s="2559"/>
      <c r="AG54" s="2677"/>
      <c r="AH54" s="2471"/>
      <c r="AI54" s="2654"/>
      <c r="AJ54" s="2559"/>
      <c r="AK54" s="2668"/>
      <c r="AL54" s="2471"/>
      <c r="AM54" s="253"/>
      <c r="AN54" s="1427"/>
      <c r="AO54" s="1427" t="s">
        <v>601</v>
      </c>
      <c r="AP54" s="353"/>
      <c r="AQ54" s="353"/>
      <c r="AR54" s="353"/>
      <c r="AS54" s="1320"/>
      <c r="AT54" s="1320"/>
      <c r="AU54" s="1423"/>
      <c r="AV54" s="1320"/>
      <c r="AW54" s="1423"/>
      <c r="AX54" s="1320"/>
      <c r="AY54" s="1320"/>
      <c r="AZ54" s="1320"/>
      <c r="BA54" s="1320"/>
      <c r="BB54" s="1324"/>
      <c r="BC54" s="2625"/>
      <c r="BE54" s="437"/>
      <c r="BF54" s="437"/>
      <c r="BG54" s="437"/>
      <c r="BH54" s="437"/>
      <c r="BI54" s="1082">
        <v>11</v>
      </c>
    </row>
    <row r="55" spans="1:61" ht="11.45" customHeight="1">
      <c r="A55" s="1290" t="s">
        <v>356</v>
      </c>
      <c r="B55" s="1290"/>
      <c r="C55" s="1290"/>
      <c r="D55" s="1290"/>
      <c r="E55" s="2602"/>
      <c r="F55" s="2602"/>
      <c r="G55" s="2602"/>
      <c r="H55" s="2602"/>
      <c r="I55" s="2604"/>
      <c r="J55" s="2604"/>
      <c r="K55" s="2603"/>
      <c r="L55" s="1291"/>
      <c r="P55" s="2605"/>
      <c r="Q55" s="2605"/>
      <c r="R55" s="294"/>
      <c r="S55" s="2659"/>
      <c r="T55" s="2679"/>
      <c r="U55" s="237"/>
      <c r="V55" s="1320"/>
      <c r="W55" s="1423"/>
      <c r="X55" s="1320"/>
      <c r="Y55" s="1423"/>
      <c r="Z55" s="1320"/>
      <c r="AA55" s="1320"/>
      <c r="AB55" s="1320"/>
      <c r="AC55" s="1320"/>
      <c r="AD55" s="2532"/>
      <c r="AE55" s="2654"/>
      <c r="AF55" s="2559"/>
      <c r="AG55" s="2677"/>
      <c r="AH55" s="2471"/>
      <c r="AI55" s="231"/>
      <c r="AJ55" s="352"/>
      <c r="AK55" s="250" t="s">
        <v>602</v>
      </c>
      <c r="AL55" s="1320"/>
      <c r="AM55" s="1320"/>
      <c r="AN55" s="1320"/>
      <c r="AO55" s="1320"/>
      <c r="AP55" s="1320"/>
      <c r="AQ55" s="1320"/>
      <c r="AR55" s="1320"/>
      <c r="AS55" s="1320"/>
      <c r="AT55" s="1320"/>
      <c r="AU55" s="1423"/>
      <c r="AV55" s="1320"/>
      <c r="AW55" s="1423"/>
      <c r="AX55" s="1320"/>
      <c r="AY55" s="1320"/>
      <c r="AZ55" s="1320"/>
      <c r="BA55" s="1320"/>
      <c r="BB55" s="1324"/>
      <c r="BC55" s="2625"/>
      <c r="BE55" s="437"/>
      <c r="BF55" s="437"/>
      <c r="BG55" s="437"/>
      <c r="BH55" s="437"/>
      <c r="BI55" s="1082">
        <v>11</v>
      </c>
    </row>
    <row r="56" spans="1:61" ht="11.45" customHeight="1">
      <c r="A56" s="1290" t="s">
        <v>356</v>
      </c>
      <c r="B56" s="1290" t="s">
        <v>357</v>
      </c>
      <c r="C56" s="1290" t="s">
        <v>358</v>
      </c>
      <c r="D56" s="1290" t="s">
        <v>608</v>
      </c>
      <c r="E56" s="2602"/>
      <c r="F56" s="2602"/>
      <c r="G56" s="2602"/>
      <c r="H56" s="2602"/>
      <c r="I56" s="2604"/>
      <c r="J56" s="2604"/>
      <c r="K56" s="2603"/>
      <c r="L56" s="1291"/>
      <c r="P56" s="2605"/>
      <c r="Q56" s="2605"/>
      <c r="R56" s="294"/>
      <c r="S56" s="2660"/>
      <c r="T56" s="2680"/>
      <c r="U56" s="237"/>
      <c r="V56" s="1320"/>
      <c r="W56" s="1321" t="str">
        <f>Z52&amp;"-"&amp;AB52</f>
        <v>-</v>
      </c>
      <c r="X56" s="1320"/>
      <c r="Y56" s="1321" t="str">
        <f>AB52&amp;"-"&amp;AD52</f>
        <v>-да</v>
      </c>
      <c r="Z56" s="1320"/>
      <c r="AA56" s="1320"/>
      <c r="AB56" s="1320"/>
      <c r="AC56" s="1320"/>
      <c r="AD56" s="2476"/>
      <c r="AE56" s="249"/>
      <c r="AF56" s="251"/>
      <c r="AG56" s="353" t="s">
        <v>584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25"/>
      <c r="BE56" s="437"/>
      <c r="BF56" s="437" t="str">
        <f t="shared" ref="BF56:BF63" si="4">IF(T56="","",T56)</f>
        <v/>
      </c>
      <c r="BG56" s="437"/>
      <c r="BH56" s="437"/>
      <c r="BI56" s="1082">
        <v>11</v>
      </c>
    </row>
    <row r="57" spans="1:61" ht="11.45" customHeight="1">
      <c r="A57" s="1290" t="s">
        <v>356</v>
      </c>
      <c r="B57" s="1290" t="s">
        <v>357</v>
      </c>
      <c r="C57" s="1290" t="s">
        <v>358</v>
      </c>
      <c r="D57" s="1290" t="s">
        <v>608</v>
      </c>
      <c r="E57" s="2602"/>
      <c r="F57" s="2602"/>
      <c r="G57" s="2602"/>
      <c r="H57" s="2602"/>
      <c r="I57" s="2604"/>
      <c r="J57" s="2603"/>
      <c r="K57" s="1290"/>
      <c r="L57" s="1291"/>
      <c r="P57" s="2605"/>
      <c r="Q57" s="2605"/>
      <c r="R57" s="293"/>
      <c r="S57" s="1205"/>
      <c r="T57" s="224" t="s">
        <v>545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26"/>
      <c r="BE57" s="437"/>
      <c r="BF57" s="437" t="str">
        <f t="shared" si="4"/>
        <v>Добавить строку</v>
      </c>
      <c r="BG57" s="437"/>
      <c r="BH57" s="437"/>
      <c r="BI57" s="1082">
        <v>11</v>
      </c>
    </row>
    <row r="58" spans="1:61" s="1569" customFormat="1" ht="0" hidden="1" customHeight="1">
      <c r="A58" s="1270" t="s">
        <v>356</v>
      </c>
      <c r="B58" s="1270" t="s">
        <v>357</v>
      </c>
      <c r="C58" s="1270" t="s">
        <v>358</v>
      </c>
      <c r="D58" s="1270" t="s">
        <v>608</v>
      </c>
      <c r="E58" s="2602"/>
      <c r="F58" s="2602"/>
      <c r="G58" s="2602"/>
      <c r="H58" s="2602"/>
      <c r="I58" s="2603"/>
      <c r="J58" s="1270"/>
      <c r="K58" s="1270"/>
      <c r="L58" s="1273"/>
      <c r="M58" s="447"/>
      <c r="N58" s="447"/>
      <c r="O58" s="447"/>
      <c r="P58" s="260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356</v>
      </c>
      <c r="B59" s="1270" t="s">
        <v>357</v>
      </c>
      <c r="C59" s="1270" t="s">
        <v>358</v>
      </c>
      <c r="D59" s="1270" t="s">
        <v>608</v>
      </c>
      <c r="E59" s="2602"/>
      <c r="F59" s="2602"/>
      <c r="G59" s="2602"/>
      <c r="H59" s="260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356</v>
      </c>
      <c r="B60" s="1270" t="s">
        <v>357</v>
      </c>
      <c r="C60" s="1270" t="s">
        <v>358</v>
      </c>
      <c r="D60" s="1241"/>
      <c r="E60" s="2602"/>
      <c r="F60" s="2602"/>
      <c r="G60" s="260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356</v>
      </c>
      <c r="B61" s="1270" t="s">
        <v>357</v>
      </c>
      <c r="C61" s="1241"/>
      <c r="D61" s="1241"/>
      <c r="E61" s="2602"/>
      <c r="F61" s="2601"/>
      <c r="G61" s="1241"/>
      <c r="H61" s="1241"/>
      <c r="I61" s="1241"/>
      <c r="J61" s="1241"/>
      <c r="K61" s="1241"/>
      <c r="L61" s="1421"/>
      <c r="M61" s="1248"/>
      <c r="N61" s="1248"/>
      <c r="P61" s="1243"/>
      <c r="Q61" s="1244"/>
      <c r="R61" s="1243"/>
      <c r="S61" s="1249"/>
      <c r="T61" s="1252" t="s">
        <v>295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356</v>
      </c>
      <c r="B62" s="1270"/>
      <c r="C62" s="1270"/>
      <c r="D62" s="1270"/>
      <c r="E62" s="2601"/>
      <c r="F62" s="1270"/>
      <c r="G62" s="1270"/>
      <c r="H62" s="1270"/>
      <c r="I62" s="1270"/>
      <c r="J62" s="1270"/>
      <c r="K62" s="1270"/>
      <c r="L62" s="1273"/>
      <c r="M62" s="1248"/>
      <c r="N62" s="1248"/>
      <c r="O62" s="455"/>
      <c r="P62" s="317"/>
      <c r="Q62" s="1271"/>
      <c r="R62" s="317"/>
      <c r="S62" s="1249"/>
      <c r="T62" s="1252" t="s">
        <v>299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300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56"/>
  <sheetViews>
    <sheetView showGridLines="0" zoomScale="90" workbookViewId="0">
      <pane xSplit="6" ySplit="11" topLeftCell="G12" activePane="bottomRight" state="frozen"/>
      <selection pane="topRight" activeCell="G1" sqref="G1"/>
      <selection pane="bottomLeft" activeCell="A12" sqref="A12"/>
      <selection pane="bottomRight" activeCell="G39" sqref="G39"/>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83</v>
      </c>
      <c r="H1" s="431"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447" t="str">
        <f>NameTemplatesInListMO</f>
        <v>Перечень муниципальных районов и муниципальных образований (территорий действия тарифа)</v>
      </c>
      <c r="F4" s="2447"/>
      <c r="G4" s="2447"/>
      <c r="H4" s="2447"/>
      <c r="I4" s="2447"/>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442" t="s">
        <v>86</v>
      </c>
      <c r="F8" s="2448"/>
      <c r="G8" s="2441"/>
      <c r="H8" s="2449" t="s">
        <v>87</v>
      </c>
      <c r="I8" s="2449"/>
      <c r="J8" s="92"/>
      <c r="K8" s="92"/>
      <c r="L8" s="92"/>
      <c r="M8" s="92"/>
      <c r="N8" s="163"/>
      <c r="O8" s="92"/>
      <c r="P8" s="162"/>
      <c r="Q8" s="162"/>
      <c r="R8" s="162"/>
      <c r="S8" s="162"/>
      <c r="AC8" s="55">
        <v>14</v>
      </c>
    </row>
    <row r="9" spans="1:29" s="1746" customFormat="1" ht="21" customHeight="1">
      <c r="A9" s="693"/>
      <c r="B9" s="354"/>
      <c r="C9" s="693"/>
      <c r="D9" s="101"/>
      <c r="E9" s="709" t="s">
        <v>88</v>
      </c>
      <c r="F9" s="709"/>
      <c r="G9" s="109" t="s">
        <v>89</v>
      </c>
      <c r="H9" s="109" t="s">
        <v>89</v>
      </c>
      <c r="I9" s="109" t="s">
        <v>85</v>
      </c>
      <c r="J9" s="92"/>
      <c r="K9" s="92"/>
      <c r="L9" s="92"/>
      <c r="M9" s="92"/>
      <c r="N9" s="163"/>
      <c r="O9" s="92"/>
      <c r="P9" s="162"/>
      <c r="Q9" s="162"/>
      <c r="R9" s="162"/>
      <c r="S9" s="162"/>
      <c r="AC9" s="55">
        <v>20</v>
      </c>
    </row>
    <row r="10" spans="1:29" ht="11.45" customHeight="1">
      <c r="D10" s="113"/>
      <c r="E10" s="710" t="s">
        <v>90</v>
      </c>
      <c r="F10" s="710"/>
      <c r="G10" s="160" t="s">
        <v>91</v>
      </c>
      <c r="H10" s="160" t="s">
        <v>92</v>
      </c>
      <c r="I10" s="160" t="s">
        <v>93</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94</v>
      </c>
      <c r="K11" s="92"/>
      <c r="L11" s="92"/>
      <c r="M11" s="92" t="s">
        <v>95</v>
      </c>
      <c r="N11" s="163" t="s">
        <v>96</v>
      </c>
      <c r="O11" s="92" t="s">
        <v>97</v>
      </c>
      <c r="P11" s="162"/>
      <c r="Q11" s="162"/>
      <c r="R11" s="162"/>
      <c r="S11" s="162"/>
      <c r="AC11" s="55">
        <v>1</v>
      </c>
    </row>
    <row r="12" spans="1:29" s="1746" customFormat="1" ht="15" customHeight="1">
      <c r="A12" s="2445">
        <v>1</v>
      </c>
      <c r="B12" s="354"/>
      <c r="C12" s="693"/>
      <c r="D12" s="713"/>
      <c r="E12" s="156">
        <f>A12</f>
        <v>1</v>
      </c>
      <c r="F12" s="733" t="s">
        <v>98</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445"/>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Ростов-на-Дону(60701000)</v>
      </c>
      <c r="P13" s="354"/>
      <c r="Q13" s="354"/>
      <c r="R13" s="357"/>
      <c r="S13" s="354"/>
      <c r="T13" s="354"/>
      <c r="U13" s="354"/>
      <c r="V13" s="359"/>
      <c r="W13" s="359"/>
      <c r="X13" s="356"/>
      <c r="Y13" s="356"/>
      <c r="Z13" s="356"/>
      <c r="AA13" s="356"/>
      <c r="AB13" s="356"/>
      <c r="AC13" s="360">
        <v>15</v>
      </c>
    </row>
    <row r="14" spans="1:29" ht="15" customHeight="1">
      <c r="A14" s="2446"/>
      <c r="B14" s="1293" t="s">
        <v>102</v>
      </c>
      <c r="C14" s="1293"/>
      <c r="D14" s="731" t="s">
        <v>103</v>
      </c>
      <c r="E14" s="1804" t="str">
        <f>A12&amp;"."&amp;B14</f>
        <v>1.2</v>
      </c>
      <c r="F14" s="1809" t="s">
        <v>104</v>
      </c>
      <c r="G14" s="1813" t="s">
        <v>105</v>
      </c>
      <c r="H14" s="1813" t="s">
        <v>105</v>
      </c>
      <c r="I14" s="1811" t="s">
        <v>106</v>
      </c>
      <c r="K14" s="1563"/>
      <c r="L14" s="1563"/>
      <c r="M14" s="1551" t="str">
        <f t="array" ref="M14">IF(ISERROR(MATCH(MID(N14,1,250),MID(note_ter,1,250),0)),"n","y")</f>
        <v>n</v>
      </c>
      <c r="N14" s="1563"/>
      <c r="O14" s="1551" t="str">
        <f>H14&amp;"("&amp;I14&amp;")"</f>
        <v>Город Батайск(60707000)</v>
      </c>
      <c r="P14" s="1293"/>
      <c r="Q14" s="1293"/>
      <c r="R14" s="357"/>
      <c r="S14" s="1293"/>
      <c r="T14" s="1293"/>
      <c r="U14" s="1293"/>
      <c r="V14" s="764"/>
      <c r="W14" s="764"/>
      <c r="X14" s="564"/>
      <c r="Y14" s="564"/>
      <c r="Z14" s="564"/>
      <c r="AA14" s="564"/>
      <c r="AB14" s="564"/>
      <c r="AC14" s="564"/>
    </row>
    <row r="15" spans="1:29" ht="15" customHeight="1">
      <c r="A15" s="2446"/>
      <c r="B15" s="1293" t="s">
        <v>90</v>
      </c>
      <c r="C15" s="1293"/>
      <c r="D15" s="731" t="s">
        <v>103</v>
      </c>
      <c r="E15" s="1804" t="str">
        <f>A12&amp;"."&amp;B15</f>
        <v>1.3</v>
      </c>
      <c r="F15" s="1809" t="s">
        <v>107</v>
      </c>
      <c r="G15" s="1813" t="s">
        <v>108</v>
      </c>
      <c r="H15" s="1813" t="s">
        <v>108</v>
      </c>
      <c r="I15" s="1811" t="s">
        <v>109</v>
      </c>
      <c r="K15" s="1563"/>
      <c r="L15" s="1563"/>
      <c r="M15" s="1551" t="str">
        <f t="array" ref="M15">IF(ISERROR(MATCH(MID(N15,1,250),MID(note_ter,1,250),0)),"n","y")</f>
        <v>n</v>
      </c>
      <c r="N15" s="1563"/>
      <c r="O15" s="1551" t="str">
        <f>H15&amp;"("&amp;I15&amp;")"</f>
        <v>Город Таганрог(60737000)</v>
      </c>
      <c r="P15" s="1293"/>
      <c r="Q15" s="1293"/>
      <c r="R15" s="357"/>
      <c r="S15" s="1293"/>
      <c r="T15" s="1293"/>
      <c r="U15" s="1293"/>
      <c r="V15" s="764"/>
      <c r="W15" s="764"/>
      <c r="X15" s="564"/>
      <c r="Y15" s="564"/>
      <c r="Z15" s="564"/>
      <c r="AA15" s="564"/>
      <c r="AB15" s="564"/>
      <c r="AC15" s="564"/>
    </row>
    <row r="16" spans="1:29" s="1776" customFormat="1" ht="15.75" customHeight="1">
      <c r="A16" s="2445"/>
      <c r="B16" s="354"/>
      <c r="C16" s="349"/>
      <c r="D16" s="732"/>
      <c r="E16" s="358"/>
      <c r="F16" s="114"/>
      <c r="G16" s="352" t="s">
        <v>110</v>
      </c>
      <c r="H16" s="124"/>
      <c r="I16" s="361"/>
      <c r="J16" s="448"/>
      <c r="K16" s="448"/>
      <c r="L16" s="448"/>
      <c r="M16" s="448"/>
      <c r="N16" s="437"/>
      <c r="O16" s="448"/>
      <c r="P16" s="354"/>
      <c r="Q16" s="354"/>
      <c r="R16" s="357"/>
      <c r="S16" s="354"/>
      <c r="T16" s="354"/>
      <c r="U16" s="354"/>
      <c r="V16" s="359"/>
      <c r="W16" s="359"/>
      <c r="X16" s="356"/>
      <c r="Y16" s="356"/>
      <c r="Z16" s="356"/>
      <c r="AA16" s="356"/>
      <c r="AB16" s="356"/>
      <c r="AC16" s="360">
        <v>15</v>
      </c>
    </row>
    <row r="17" spans="1:29" ht="15" customHeight="1">
      <c r="A17" s="2446" t="s">
        <v>102</v>
      </c>
      <c r="B17" s="1087"/>
      <c r="C17" s="732" t="s">
        <v>103</v>
      </c>
      <c r="D17" s="1745"/>
      <c r="E17" s="1732" t="str">
        <f>A17</f>
        <v>2</v>
      </c>
      <c r="F17" s="735" t="s">
        <v>111</v>
      </c>
      <c r="G17" s="477" t="str">
        <f>"Территория "&amp;E17</f>
        <v>Территория 2</v>
      </c>
      <c r="H17" s="723"/>
      <c r="I17" s="723"/>
      <c r="J17" s="720"/>
      <c r="N17" s="163"/>
      <c r="T17" s="1746"/>
      <c r="U17" s="1746"/>
      <c r="V17" s="1746"/>
      <c r="W17" s="1746"/>
      <c r="X17" s="1746"/>
      <c r="Y17" s="1746"/>
      <c r="Z17" s="1746"/>
      <c r="AA17" s="1746"/>
      <c r="AB17" s="1746"/>
      <c r="AC17" s="1746"/>
    </row>
    <row r="18" spans="1:29" ht="15" customHeight="1">
      <c r="A18" s="2446"/>
      <c r="B18" s="1087">
        <v>1</v>
      </c>
      <c r="C18" s="1087"/>
      <c r="D18" s="731"/>
      <c r="E18" s="1740" t="str">
        <f>A17&amp;"."&amp;B18</f>
        <v>2.1</v>
      </c>
      <c r="F18" s="734" t="s">
        <v>112</v>
      </c>
      <c r="G18" s="724" t="s">
        <v>113</v>
      </c>
      <c r="H18" s="724" t="s">
        <v>113</v>
      </c>
      <c r="I18" s="722" t="s">
        <v>114</v>
      </c>
      <c r="K18" s="1563"/>
      <c r="L18" s="1563"/>
      <c r="M18" s="1551" t="str">
        <f t="array" ref="M18">IF(ISERROR(MATCH(MID(N18,1,250),MID(note_ter,1,250),0)),"n","y")</f>
        <v>n</v>
      </c>
      <c r="N18" s="1563"/>
      <c r="O18" s="1551" t="str">
        <f>H18&amp;"("&amp;I18&amp;")"</f>
        <v>Город Каменск-Шахтинский(60719000)</v>
      </c>
      <c r="P18" s="1087"/>
      <c r="Q18" s="1087"/>
      <c r="R18" s="357"/>
      <c r="S18" s="1087"/>
      <c r="T18" s="1087"/>
      <c r="U18" s="1087"/>
      <c r="V18" s="359"/>
      <c r="W18" s="359"/>
      <c r="X18" s="356"/>
      <c r="Y18" s="356"/>
      <c r="Z18" s="356"/>
      <c r="AA18" s="356"/>
      <c r="AB18" s="356"/>
      <c r="AC18" s="356"/>
    </row>
    <row r="19" spans="1:29" ht="15" customHeight="1">
      <c r="A19" s="2446"/>
      <c r="B19" s="1293" t="s">
        <v>102</v>
      </c>
      <c r="C19" s="1293"/>
      <c r="D19" s="731" t="s">
        <v>103</v>
      </c>
      <c r="E19" s="1804" t="str">
        <f>A17&amp;"."&amp;B19</f>
        <v>2.2</v>
      </c>
      <c r="F19" s="1809" t="s">
        <v>115</v>
      </c>
      <c r="G19" s="1813" t="s">
        <v>116</v>
      </c>
      <c r="H19" s="1813" t="s">
        <v>117</v>
      </c>
      <c r="I19" s="1811" t="s">
        <v>118</v>
      </c>
      <c r="K19" s="1563"/>
      <c r="L19" s="1563"/>
      <c r="M19" s="1551" t="str">
        <f t="array" ref="M19">IF(ISERROR(MATCH(MID(N19,1,250),MID(note_ter,1,250),0)),"n","y")</f>
        <v>n</v>
      </c>
      <c r="N19" s="1563"/>
      <c r="O19" s="1551" t="str">
        <f>H19&amp;"("&amp;I19&amp;")"</f>
        <v>Богдановское сельское поселение(60623410)</v>
      </c>
      <c r="P19" s="1293"/>
      <c r="Q19" s="1293"/>
      <c r="R19" s="357"/>
      <c r="S19" s="1293"/>
      <c r="T19" s="1293"/>
      <c r="U19" s="1293"/>
      <c r="V19" s="764"/>
      <c r="W19" s="764"/>
      <c r="X19" s="564"/>
      <c r="Y19" s="564"/>
      <c r="Z19" s="564"/>
      <c r="AA19" s="564"/>
      <c r="AB19" s="564"/>
      <c r="AC19" s="564"/>
    </row>
    <row r="20" spans="1:29" ht="15" customHeight="1">
      <c r="A20" s="2446"/>
      <c r="B20" s="1293" t="s">
        <v>90</v>
      </c>
      <c r="C20" s="1293"/>
      <c r="D20" s="731" t="s">
        <v>103</v>
      </c>
      <c r="E20" s="1804" t="str">
        <f>A17&amp;"."&amp;B20</f>
        <v>2.3</v>
      </c>
      <c r="F20" s="1809" t="s">
        <v>119</v>
      </c>
      <c r="G20" s="1813" t="s">
        <v>120</v>
      </c>
      <c r="H20" s="1813" t="s">
        <v>121</v>
      </c>
      <c r="I20" s="1811" t="s">
        <v>122</v>
      </c>
      <c r="K20" s="1563"/>
      <c r="L20" s="1563"/>
      <c r="M20" s="1551" t="str">
        <f t="array" ref="M20">IF(ISERROR(MATCH(MID(N20,1,250),MID(note_ter,1,250),0)),"n","y")</f>
        <v>n</v>
      </c>
      <c r="N20" s="1563"/>
      <c r="O20" s="1551" t="str">
        <f>H20&amp;"("&amp;I20&amp;")"</f>
        <v>Миллеровское городское поселение(60632101)</v>
      </c>
      <c r="P20" s="1293"/>
      <c r="Q20" s="1293"/>
      <c r="R20" s="357"/>
      <c r="S20" s="1293"/>
      <c r="T20" s="1293"/>
      <c r="U20" s="1293"/>
      <c r="V20" s="764"/>
      <c r="W20" s="764"/>
      <c r="X20" s="564"/>
      <c r="Y20" s="564"/>
      <c r="Z20" s="564"/>
      <c r="AA20" s="564"/>
      <c r="AB20" s="564"/>
      <c r="AC20" s="564"/>
    </row>
    <row r="21" spans="1:29" ht="15" customHeight="1">
      <c r="A21" s="2446"/>
      <c r="B21" s="1293" t="s">
        <v>91</v>
      </c>
      <c r="C21" s="1293"/>
      <c r="D21" s="731" t="s">
        <v>103</v>
      </c>
      <c r="E21" s="1804" t="str">
        <f>A17&amp;"."&amp;B21</f>
        <v>2.4</v>
      </c>
      <c r="F21" s="1809" t="s">
        <v>123</v>
      </c>
      <c r="G21" s="1813" t="s">
        <v>124</v>
      </c>
      <c r="H21" s="1813" t="s">
        <v>125</v>
      </c>
      <c r="I21" s="1811" t="s">
        <v>126</v>
      </c>
      <c r="K21" s="1563"/>
      <c r="L21" s="1563"/>
      <c r="M21" s="1551" t="str">
        <f t="array" ref="M21">IF(ISERROR(MATCH(MID(N21,1,250),MID(note_ter,1,250),0)),"n","y")</f>
        <v>n</v>
      </c>
      <c r="N21" s="1563"/>
      <c r="O21" s="1551" t="str">
        <f>H21&amp;"("&amp;I21&amp;")"</f>
        <v>Коксовское сельское поселение(60606433)</v>
      </c>
      <c r="P21" s="1293"/>
      <c r="Q21" s="1293"/>
      <c r="R21" s="357"/>
      <c r="S21" s="1293"/>
      <c r="T21" s="1293"/>
      <c r="U21" s="1293"/>
      <c r="V21" s="764"/>
      <c r="W21" s="764"/>
      <c r="X21" s="564"/>
      <c r="Y21" s="564"/>
      <c r="Z21" s="564"/>
      <c r="AA21" s="564"/>
      <c r="AB21" s="564"/>
      <c r="AC21" s="564"/>
    </row>
    <row r="22" spans="1:29" ht="15" customHeight="1">
      <c r="A22" s="2446"/>
      <c r="B22" s="1293" t="s">
        <v>127</v>
      </c>
      <c r="C22" s="1293"/>
      <c r="D22" s="731" t="s">
        <v>103</v>
      </c>
      <c r="E22" s="1804" t="str">
        <f>A17&amp;"."&amp;B22</f>
        <v>2.5</v>
      </c>
      <c r="F22" s="1809" t="s">
        <v>128</v>
      </c>
      <c r="G22" s="1813" t="s">
        <v>124</v>
      </c>
      <c r="H22" s="1813" t="s">
        <v>129</v>
      </c>
      <c r="I22" s="1811" t="s">
        <v>130</v>
      </c>
      <c r="K22" s="1563"/>
      <c r="L22" s="1563"/>
      <c r="M22" s="1551" t="str">
        <f t="array" ref="M22">IF(ISERROR(MATCH(MID(N22,1,250),MID(note_ter,1,250),0)),"n","y")</f>
        <v>n</v>
      </c>
      <c r="N22" s="1563"/>
      <c r="O22" s="1551" t="str">
        <f>H22&amp;"("&amp;I22&amp;")"</f>
        <v>Синегорское сельское поселение(60606459)</v>
      </c>
      <c r="P22" s="1293"/>
      <c r="Q22" s="1293"/>
      <c r="R22" s="357"/>
      <c r="S22" s="1293"/>
      <c r="T22" s="1293"/>
      <c r="U22" s="1293"/>
      <c r="V22" s="764"/>
      <c r="W22" s="764"/>
      <c r="X22" s="564"/>
      <c r="Y22" s="564"/>
      <c r="Z22" s="564"/>
      <c r="AA22" s="564"/>
      <c r="AB22" s="564"/>
      <c r="AC22" s="564"/>
    </row>
    <row r="23" spans="1:29" ht="15" customHeight="1">
      <c r="A23" s="2446"/>
      <c r="B23" s="1087"/>
      <c r="C23" s="349"/>
      <c r="D23" s="732"/>
      <c r="E23" s="358"/>
      <c r="F23" s="114"/>
      <c r="G23" s="352" t="s">
        <v>110</v>
      </c>
      <c r="H23" s="124"/>
      <c r="I23" s="361"/>
      <c r="J23" s="1563"/>
      <c r="K23" s="1563"/>
      <c r="L23" s="1563"/>
      <c r="M23" s="1563"/>
      <c r="O23" s="1563"/>
      <c r="P23" s="1087"/>
      <c r="Q23" s="1087"/>
      <c r="R23" s="357"/>
      <c r="S23" s="1087"/>
      <c r="T23" s="1087"/>
      <c r="U23" s="1087"/>
      <c r="V23" s="359"/>
      <c r="W23" s="359"/>
      <c r="X23" s="356"/>
      <c r="Y23" s="356"/>
      <c r="Z23" s="356"/>
      <c r="AA23" s="356"/>
      <c r="AB23" s="356"/>
      <c r="AC23" s="356"/>
    </row>
    <row r="24" spans="1:29" ht="15" customHeight="1">
      <c r="A24" s="2446" t="s">
        <v>90</v>
      </c>
      <c r="B24" s="1087"/>
      <c r="C24" s="732" t="s">
        <v>103</v>
      </c>
      <c r="D24" s="1745"/>
      <c r="E24" s="1732" t="str">
        <f>A24</f>
        <v>3</v>
      </c>
      <c r="F24" s="735" t="s">
        <v>131</v>
      </c>
      <c r="G24" s="477" t="str">
        <f>"Территория "&amp;E24</f>
        <v>Территория 3</v>
      </c>
      <c r="H24" s="723"/>
      <c r="I24" s="723"/>
      <c r="J24" s="720"/>
      <c r="N24" s="163"/>
      <c r="T24" s="1746"/>
      <c r="U24" s="1746"/>
      <c r="V24" s="1746"/>
      <c r="W24" s="1746"/>
      <c r="X24" s="1746"/>
      <c r="Y24" s="1746"/>
      <c r="Z24" s="1746"/>
      <c r="AA24" s="1746"/>
      <c r="AB24" s="1746"/>
      <c r="AC24" s="1746"/>
    </row>
    <row r="25" spans="1:29" ht="15" customHeight="1">
      <c r="A25" s="2446"/>
      <c r="B25" s="1087">
        <v>1</v>
      </c>
      <c r="C25" s="1087"/>
      <c r="D25" s="731"/>
      <c r="E25" s="1740" t="str">
        <f>A24&amp;"."&amp;B25</f>
        <v>3.1</v>
      </c>
      <c r="F25" s="734" t="s">
        <v>132</v>
      </c>
      <c r="G25" s="724" t="s">
        <v>133</v>
      </c>
      <c r="H25" s="724" t="s">
        <v>134</v>
      </c>
      <c r="I25" s="722" t="s">
        <v>135</v>
      </c>
      <c r="K25" s="1563"/>
      <c r="L25" s="1563"/>
      <c r="M25" s="1551" t="str">
        <f t="array" ref="M25">IF(ISERROR(MATCH(MID(N25,1,250),MID(note_ter,1,250),0)),"n","y")</f>
        <v>n</v>
      </c>
      <c r="N25" s="1563"/>
      <c r="O25" s="1551" t="str">
        <f>H25&amp;"("&amp;I25&amp;")"</f>
        <v>Сальское городское поселение(60650101)</v>
      </c>
      <c r="P25" s="1087"/>
      <c r="Q25" s="1087"/>
      <c r="R25" s="357"/>
      <c r="S25" s="1087"/>
      <c r="T25" s="1087"/>
      <c r="U25" s="1087"/>
      <c r="V25" s="359"/>
      <c r="W25" s="359"/>
      <c r="X25" s="356"/>
      <c r="Y25" s="356"/>
      <c r="Z25" s="356"/>
      <c r="AA25" s="356"/>
      <c r="AB25" s="356"/>
      <c r="AC25" s="356"/>
    </row>
    <row r="26" spans="1:29" ht="15" customHeight="1">
      <c r="A26" s="2446"/>
      <c r="B26" s="1293" t="s">
        <v>102</v>
      </c>
      <c r="C26" s="1293"/>
      <c r="D26" s="731" t="s">
        <v>103</v>
      </c>
      <c r="E26" s="1804" t="str">
        <f>A24&amp;"."&amp;B26</f>
        <v>3.2</v>
      </c>
      <c r="F26" s="1809" t="s">
        <v>136</v>
      </c>
      <c r="G26" s="1813" t="s">
        <v>137</v>
      </c>
      <c r="H26" s="1813" t="s">
        <v>138</v>
      </c>
      <c r="I26" s="1811" t="s">
        <v>139</v>
      </c>
      <c r="K26" s="1563"/>
      <c r="L26" s="1563"/>
      <c r="M26" s="1551" t="str">
        <f t="array" ref="M26">IF(ISERROR(MATCH(MID(N26,1,250),MID(note_ter,1,250),0)),"n","y")</f>
        <v>n</v>
      </c>
      <c r="N26" s="1563"/>
      <c r="O26" s="1551" t="str">
        <f>H26&amp;"("&amp;I26&amp;")"</f>
        <v>Песчанокопское сельское поселение(60644455)</v>
      </c>
      <c r="P26" s="1293"/>
      <c r="Q26" s="1293"/>
      <c r="R26" s="357"/>
      <c r="S26" s="1293"/>
      <c r="T26" s="1293"/>
      <c r="U26" s="1293"/>
      <c r="V26" s="764"/>
      <c r="W26" s="764"/>
      <c r="X26" s="564"/>
      <c r="Y26" s="564"/>
      <c r="Z26" s="564"/>
      <c r="AA26" s="564"/>
      <c r="AB26" s="564"/>
      <c r="AC26" s="564"/>
    </row>
    <row r="27" spans="1:29" ht="15" customHeight="1">
      <c r="A27" s="2446"/>
      <c r="B27" s="1293" t="s">
        <v>90</v>
      </c>
      <c r="C27" s="1293"/>
      <c r="D27" s="731" t="s">
        <v>103</v>
      </c>
      <c r="E27" s="1804" t="str">
        <f>A24&amp;"."&amp;B27</f>
        <v>3.3</v>
      </c>
      <c r="F27" s="1809" t="s">
        <v>140</v>
      </c>
      <c r="G27" s="1813" t="s">
        <v>141</v>
      </c>
      <c r="H27" s="1813" t="s">
        <v>141</v>
      </c>
      <c r="I27" s="1811" t="s">
        <v>142</v>
      </c>
      <c r="K27" s="1563"/>
      <c r="L27" s="1563"/>
      <c r="M27" s="1551" t="str">
        <f t="array" ref="M27">IF(ISERROR(MATCH(MID(N27,1,250),MID(note_ter,1,250),0)),"n","y")</f>
        <v>n</v>
      </c>
      <c r="N27" s="1563"/>
      <c r="O27" s="1551" t="str">
        <f>H27&amp;"("&amp;I27&amp;")"</f>
        <v>Город Волгодонск(60712000)</v>
      </c>
      <c r="P27" s="1293"/>
      <c r="Q27" s="1293"/>
      <c r="R27" s="357"/>
      <c r="S27" s="1293"/>
      <c r="T27" s="1293"/>
      <c r="U27" s="1293"/>
      <c r="V27" s="764"/>
      <c r="W27" s="764"/>
      <c r="X27" s="564"/>
      <c r="Y27" s="564"/>
      <c r="Z27" s="564"/>
      <c r="AA27" s="564"/>
      <c r="AB27" s="564"/>
      <c r="AC27" s="564"/>
    </row>
    <row r="28" spans="1:29" ht="15" customHeight="1">
      <c r="A28" s="2446"/>
      <c r="B28" s="1293" t="s">
        <v>91</v>
      </c>
      <c r="C28" s="1293"/>
      <c r="D28" s="731" t="s">
        <v>103</v>
      </c>
      <c r="E28" s="1804" t="str">
        <f>A24&amp;"."&amp;B28</f>
        <v>3.4</v>
      </c>
      <c r="F28" s="1809" t="s">
        <v>143</v>
      </c>
      <c r="G28" s="1813" t="s">
        <v>144</v>
      </c>
      <c r="H28" s="1813" t="s">
        <v>145</v>
      </c>
      <c r="I28" s="1811" t="s">
        <v>146</v>
      </c>
      <c r="K28" s="1563"/>
      <c r="L28" s="1563"/>
      <c r="M28" s="1551" t="str">
        <f t="array" ref="M28">IF(ISERROR(MATCH(MID(N28,1,250),MID(note_ter,1,250),0)),"n","y")</f>
        <v>n</v>
      </c>
      <c r="N28" s="1563"/>
      <c r="O28" s="1551" t="str">
        <f>H28&amp;"("&amp;I28&amp;")"</f>
        <v>Зимовниковское сельское поселение(60619417)</v>
      </c>
      <c r="P28" s="1293"/>
      <c r="Q28" s="1293"/>
      <c r="R28" s="357"/>
      <c r="S28" s="1293"/>
      <c r="T28" s="1293"/>
      <c r="U28" s="1293"/>
      <c r="V28" s="764"/>
      <c r="W28" s="764"/>
      <c r="X28" s="564"/>
      <c r="Y28" s="564"/>
      <c r="Z28" s="564"/>
      <c r="AA28" s="564"/>
      <c r="AB28" s="564"/>
      <c r="AC28" s="564"/>
    </row>
    <row r="29" spans="1:29" ht="15" customHeight="1">
      <c r="A29" s="2446"/>
      <c r="B29" s="1293" t="s">
        <v>127</v>
      </c>
      <c r="C29" s="1293"/>
      <c r="D29" s="731" t="s">
        <v>103</v>
      </c>
      <c r="E29" s="1804" t="str">
        <f>A24&amp;"."&amp;B29</f>
        <v>3.5</v>
      </c>
      <c r="F29" s="1809" t="s">
        <v>147</v>
      </c>
      <c r="G29" s="1813" t="s">
        <v>148</v>
      </c>
      <c r="H29" s="1813" t="s">
        <v>149</v>
      </c>
      <c r="I29" s="1811" t="s">
        <v>150</v>
      </c>
      <c r="K29" s="1563"/>
      <c r="L29" s="1563"/>
      <c r="M29" s="1551" t="str">
        <f t="array" ref="M29">IF(ISERROR(MATCH(MID(N29,1,250),MID(note_ter,1,250),0)),"n","y")</f>
        <v>n</v>
      </c>
      <c r="N29" s="1563"/>
      <c r="O29" s="1551" t="str">
        <f>H29&amp;"("&amp;I29&amp;")"</f>
        <v>Егорлыкское сельское поселение(60615417)</v>
      </c>
      <c r="P29" s="1293"/>
      <c r="Q29" s="1293"/>
      <c r="R29" s="357"/>
      <c r="S29" s="1293"/>
      <c r="T29" s="1293"/>
      <c r="U29" s="1293"/>
      <c r="V29" s="764"/>
      <c r="W29" s="764"/>
      <c r="X29" s="564"/>
      <c r="Y29" s="564"/>
      <c r="Z29" s="564"/>
      <c r="AA29" s="564"/>
      <c r="AB29" s="564"/>
      <c r="AC29" s="564"/>
    </row>
    <row r="30" spans="1:29" ht="15" customHeight="1">
      <c r="A30" s="2446"/>
      <c r="B30" s="1087"/>
      <c r="C30" s="349"/>
      <c r="D30" s="732"/>
      <c r="E30" s="358"/>
      <c r="F30" s="114"/>
      <c r="G30" s="352" t="s">
        <v>110</v>
      </c>
      <c r="H30" s="124"/>
      <c r="I30" s="361"/>
      <c r="J30" s="1563"/>
      <c r="K30" s="1563"/>
      <c r="L30" s="1563"/>
      <c r="M30" s="1563"/>
      <c r="O30" s="1563"/>
      <c r="P30" s="1087"/>
      <c r="Q30" s="1087"/>
      <c r="R30" s="357"/>
      <c r="S30" s="1087"/>
      <c r="T30" s="1087"/>
      <c r="U30" s="1087"/>
      <c r="V30" s="359"/>
      <c r="W30" s="359"/>
      <c r="X30" s="356"/>
      <c r="Y30" s="356"/>
      <c r="Z30" s="356"/>
      <c r="AA30" s="356"/>
      <c r="AB30" s="356"/>
      <c r="AC30" s="356"/>
    </row>
    <row r="31" spans="1:29" ht="15" customHeight="1">
      <c r="A31" s="2446" t="s">
        <v>91</v>
      </c>
      <c r="B31" s="1087"/>
      <c r="C31" s="732" t="s">
        <v>103</v>
      </c>
      <c r="D31" s="1745"/>
      <c r="E31" s="1732" t="str">
        <f>A31</f>
        <v>4</v>
      </c>
      <c r="F31" s="735" t="s">
        <v>151</v>
      </c>
      <c r="G31" s="477" t="str">
        <f>"Территория "&amp;E31</f>
        <v>Территория 4</v>
      </c>
      <c r="H31" s="723"/>
      <c r="I31" s="723"/>
      <c r="J31" s="720"/>
      <c r="N31" s="163"/>
      <c r="T31" s="1746"/>
      <c r="U31" s="1746"/>
      <c r="V31" s="1746"/>
      <c r="W31" s="1746"/>
      <c r="X31" s="1746"/>
      <c r="Y31" s="1746"/>
      <c r="Z31" s="1746"/>
      <c r="AA31" s="1746"/>
      <c r="AB31" s="1746"/>
      <c r="AC31" s="1746"/>
    </row>
    <row r="32" spans="1:29" ht="15" customHeight="1">
      <c r="A32" s="2446"/>
      <c r="B32" s="1087">
        <v>1</v>
      </c>
      <c r="C32" s="1087"/>
      <c r="D32" s="731"/>
      <c r="E32" s="1740" t="str">
        <f>A31&amp;"."&amp;B32</f>
        <v>4.1</v>
      </c>
      <c r="F32" s="734" t="s">
        <v>132</v>
      </c>
      <c r="G32" s="724" t="s">
        <v>133</v>
      </c>
      <c r="H32" s="724" t="s">
        <v>134</v>
      </c>
      <c r="I32" s="722" t="s">
        <v>135</v>
      </c>
      <c r="K32" s="1563"/>
      <c r="L32" s="1563"/>
      <c r="M32" s="1551" t="str">
        <f t="array" ref="M32">IF(ISERROR(MATCH(MID(N32,1,250),MID(note_ter,1,250),0)),"n","y")</f>
        <v>n</v>
      </c>
      <c r="N32" s="1563"/>
      <c r="O32" s="1551" t="str">
        <f t="shared" ref="O32:O37" si="0">H32&amp;"("&amp;I32&amp;")"</f>
        <v>Сальское городское поселение(60650101)</v>
      </c>
      <c r="P32" s="1087"/>
      <c r="Q32" s="1087"/>
      <c r="R32" s="357"/>
      <c r="S32" s="1087"/>
      <c r="T32" s="1087"/>
      <c r="U32" s="1087"/>
      <c r="V32" s="359"/>
      <c r="W32" s="359"/>
      <c r="X32" s="356"/>
      <c r="Y32" s="356"/>
      <c r="Z32" s="356"/>
      <c r="AA32" s="356"/>
      <c r="AB32" s="356"/>
      <c r="AC32" s="356"/>
    </row>
    <row r="33" spans="1:29" ht="15" customHeight="1">
      <c r="A33" s="2446"/>
      <c r="B33" s="1293" t="s">
        <v>102</v>
      </c>
      <c r="C33" s="1293"/>
      <c r="D33" s="731" t="s">
        <v>103</v>
      </c>
      <c r="E33" s="1804" t="str">
        <f>A31&amp;"."&amp;B33</f>
        <v>4.2</v>
      </c>
      <c r="F33" s="1809" t="s">
        <v>92</v>
      </c>
      <c r="G33" s="1813" t="s">
        <v>152</v>
      </c>
      <c r="H33" s="1813" t="s">
        <v>153</v>
      </c>
      <c r="I33" s="1811" t="s">
        <v>154</v>
      </c>
      <c r="K33" s="1563"/>
      <c r="L33" s="1563"/>
      <c r="M33" s="1551" t="str">
        <f t="array" ref="M33">IF(ISERROR(MATCH(MID(N33,1,250),MID(note_ter,1,250),0)),"n","y")</f>
        <v>n</v>
      </c>
      <c r="N33" s="1563"/>
      <c r="O33" s="1551" t="str">
        <f t="shared" si="0"/>
        <v>Кагальницкое сельское поселение(60601430)</v>
      </c>
      <c r="P33" s="1293"/>
      <c r="Q33" s="1293"/>
      <c r="R33" s="357"/>
      <c r="S33" s="1293"/>
      <c r="T33" s="1293"/>
      <c r="U33" s="1293"/>
      <c r="V33" s="764"/>
      <c r="W33" s="764"/>
      <c r="X33" s="564"/>
      <c r="Y33" s="564"/>
      <c r="Z33" s="564"/>
      <c r="AA33" s="564"/>
      <c r="AB33" s="564"/>
      <c r="AC33" s="564"/>
    </row>
    <row r="34" spans="1:29" ht="15" customHeight="1">
      <c r="A34" s="2446"/>
      <c r="B34" s="1293" t="s">
        <v>90</v>
      </c>
      <c r="C34" s="1293"/>
      <c r="D34" s="731" t="s">
        <v>103</v>
      </c>
      <c r="E34" s="1804" t="str">
        <f>A31&amp;"."&amp;B34</f>
        <v>4.3</v>
      </c>
      <c r="F34" s="1809" t="s">
        <v>155</v>
      </c>
      <c r="G34" s="1813" t="s">
        <v>156</v>
      </c>
      <c r="H34" s="1813" t="s">
        <v>157</v>
      </c>
      <c r="I34" s="1811" t="s">
        <v>158</v>
      </c>
      <c r="K34" s="1563"/>
      <c r="L34" s="1563"/>
      <c r="M34" s="1551" t="str">
        <f t="array" ref="M34">IF(ISERROR(MATCH(MID(N34,1,250),MID(note_ter,1,250),0)),"n","y")</f>
        <v>n</v>
      </c>
      <c r="N34" s="1563"/>
      <c r="O34" s="1551" t="str">
        <f t="shared" si="0"/>
        <v>Орловское сельское поселение(60642446)</v>
      </c>
      <c r="P34" s="1293"/>
      <c r="Q34" s="1293"/>
      <c r="R34" s="357"/>
      <c r="S34" s="1293"/>
      <c r="T34" s="1293"/>
      <c r="U34" s="1293"/>
      <c r="V34" s="764"/>
      <c r="W34" s="764"/>
      <c r="X34" s="564"/>
      <c r="Y34" s="564"/>
      <c r="Z34" s="564"/>
      <c r="AA34" s="564"/>
      <c r="AB34" s="564"/>
      <c r="AC34" s="564"/>
    </row>
    <row r="35" spans="1:29" ht="15" customHeight="1">
      <c r="A35" s="2446"/>
      <c r="B35" s="1293" t="s">
        <v>91</v>
      </c>
      <c r="C35" s="1293"/>
      <c r="D35" s="731" t="s">
        <v>103</v>
      </c>
      <c r="E35" s="1804" t="str">
        <f>A31&amp;"."&amp;B35</f>
        <v>4.4</v>
      </c>
      <c r="F35" s="1809" t="s">
        <v>159</v>
      </c>
      <c r="G35" s="1813" t="s">
        <v>160</v>
      </c>
      <c r="H35" s="1813" t="s">
        <v>161</v>
      </c>
      <c r="I35" s="1811" t="s">
        <v>162</v>
      </c>
      <c r="K35" s="1563"/>
      <c r="L35" s="1563"/>
      <c r="M35" s="1551" t="str">
        <f t="array" ref="M35">IF(ISERROR(MATCH(MID(N35,1,250),MID(note_ter,1,250),0)),"n","y")</f>
        <v>n</v>
      </c>
      <c r="N35" s="1563"/>
      <c r="O35" s="1551" t="str">
        <f t="shared" si="0"/>
        <v>Дубовское сельское поселение(60613425)</v>
      </c>
      <c r="P35" s="1293"/>
      <c r="Q35" s="1293"/>
      <c r="R35" s="357"/>
      <c r="S35" s="1293"/>
      <c r="T35" s="1293"/>
      <c r="U35" s="1293"/>
      <c r="V35" s="764"/>
      <c r="W35" s="764"/>
      <c r="X35" s="564"/>
      <c r="Y35" s="564"/>
      <c r="Z35" s="564"/>
      <c r="AA35" s="564"/>
      <c r="AB35" s="564"/>
      <c r="AC35" s="564"/>
    </row>
    <row r="36" spans="1:29" ht="15" customHeight="1">
      <c r="A36" s="2446"/>
      <c r="B36" s="1293" t="s">
        <v>127</v>
      </c>
      <c r="C36" s="1293"/>
      <c r="D36" s="731" t="s">
        <v>103</v>
      </c>
      <c r="E36" s="1804" t="str">
        <f>A31&amp;"."&amp;B36</f>
        <v>4.5</v>
      </c>
      <c r="F36" s="1809" t="s">
        <v>163</v>
      </c>
      <c r="G36" s="1813" t="s">
        <v>164</v>
      </c>
      <c r="H36" s="1813" t="s">
        <v>165</v>
      </c>
      <c r="I36" s="1811" t="s">
        <v>166</v>
      </c>
      <c r="K36" s="1563"/>
      <c r="L36" s="1563"/>
      <c r="M36" s="1551" t="str">
        <f t="array" ref="M36">IF(ISERROR(MATCH(MID(N36,1,250),MID(note_ter,1,250),0)),"n","y")</f>
        <v>n</v>
      </c>
      <c r="N36" s="1563"/>
      <c r="O36" s="1551" t="str">
        <f t="shared" si="0"/>
        <v>Ремонтненское сельское поселение(60647472)</v>
      </c>
      <c r="P36" s="1293"/>
      <c r="Q36" s="1293"/>
      <c r="R36" s="357"/>
      <c r="S36" s="1293"/>
      <c r="T36" s="1293"/>
      <c r="U36" s="1293"/>
      <c r="V36" s="764"/>
      <c r="W36" s="764"/>
      <c r="X36" s="564"/>
      <c r="Y36" s="564"/>
      <c r="Z36" s="564"/>
      <c r="AA36" s="564"/>
      <c r="AB36" s="564"/>
      <c r="AC36" s="564"/>
    </row>
    <row r="37" spans="1:29" ht="15" customHeight="1">
      <c r="A37" s="2446"/>
      <c r="B37" s="1293" t="s">
        <v>92</v>
      </c>
      <c r="C37" s="1293"/>
      <c r="D37" s="731" t="s">
        <v>103</v>
      </c>
      <c r="E37" s="1804" t="str">
        <f>A31&amp;"."&amp;B37</f>
        <v>4.6</v>
      </c>
      <c r="F37" s="1809" t="s">
        <v>167</v>
      </c>
      <c r="G37" s="1813" t="s">
        <v>160</v>
      </c>
      <c r="H37" s="1813" t="s">
        <v>168</v>
      </c>
      <c r="I37" s="1811" t="s">
        <v>169</v>
      </c>
      <c r="K37" s="1563"/>
      <c r="L37" s="1563"/>
      <c r="M37" s="1551" t="str">
        <f t="array" ref="M37">IF(ISERROR(MATCH(MID(N37,1,250),MID(note_ter,1,250),0)),"n","y")</f>
        <v>n</v>
      </c>
      <c r="N37" s="1563"/>
      <c r="O37" s="1551" t="str">
        <f t="shared" si="0"/>
        <v>Семичанское сельское поселение(60613471)</v>
      </c>
      <c r="P37" s="1293"/>
      <c r="Q37" s="1293"/>
      <c r="R37" s="357"/>
      <c r="S37" s="1293"/>
      <c r="T37" s="1293"/>
      <c r="U37" s="1293"/>
      <c r="V37" s="764"/>
      <c r="W37" s="764"/>
      <c r="X37" s="564"/>
      <c r="Y37" s="564"/>
      <c r="Z37" s="564"/>
      <c r="AA37" s="564"/>
      <c r="AB37" s="564"/>
      <c r="AC37" s="564"/>
    </row>
    <row r="38" spans="1:29" ht="15" customHeight="1">
      <c r="A38" s="2446"/>
      <c r="B38" s="1087"/>
      <c r="C38" s="349"/>
      <c r="D38" s="732"/>
      <c r="E38" s="358"/>
      <c r="F38" s="114"/>
      <c r="G38" s="352" t="s">
        <v>110</v>
      </c>
      <c r="H38" s="124"/>
      <c r="I38" s="361"/>
      <c r="J38" s="1563"/>
      <c r="K38" s="1563"/>
      <c r="L38" s="1563"/>
      <c r="M38" s="1563"/>
      <c r="O38" s="1563"/>
      <c r="P38" s="1087"/>
      <c r="Q38" s="1087"/>
      <c r="R38" s="357"/>
      <c r="S38" s="1087"/>
      <c r="T38" s="1087"/>
      <c r="U38" s="1087"/>
      <c r="V38" s="359"/>
      <c r="W38" s="359"/>
      <c r="X38" s="356"/>
      <c r="Y38" s="356"/>
      <c r="Z38" s="356"/>
      <c r="AA38" s="356"/>
      <c r="AB38" s="356"/>
      <c r="AC38" s="356"/>
    </row>
    <row r="39" spans="1:29" ht="15" customHeight="1">
      <c r="A39" s="2446" t="s">
        <v>127</v>
      </c>
      <c r="B39" s="1087"/>
      <c r="C39" s="732" t="s">
        <v>103</v>
      </c>
      <c r="D39" s="1745"/>
      <c r="E39" s="1732" t="str">
        <f>A39</f>
        <v>5</v>
      </c>
      <c r="F39" s="735" t="s">
        <v>170</v>
      </c>
      <c r="G39" s="477" t="str">
        <f>"Территория "&amp;E39</f>
        <v>Территория 5</v>
      </c>
      <c r="H39" s="723"/>
      <c r="I39" s="723"/>
      <c r="J39" s="720"/>
      <c r="N39" s="163"/>
      <c r="T39" s="1746"/>
      <c r="U39" s="1746"/>
      <c r="V39" s="1746"/>
      <c r="W39" s="1746"/>
      <c r="X39" s="1746"/>
      <c r="Y39" s="1746"/>
      <c r="Z39" s="1746"/>
      <c r="AA39" s="1746"/>
      <c r="AB39" s="1746"/>
      <c r="AC39" s="1746"/>
    </row>
    <row r="40" spans="1:29" ht="15" customHeight="1">
      <c r="A40" s="2446"/>
      <c r="B40" s="1087">
        <v>1</v>
      </c>
      <c r="C40" s="1087"/>
      <c r="D40" s="731"/>
      <c r="E40" s="1740" t="str">
        <f>A39&amp;"."&amp;B40</f>
        <v>5.1</v>
      </c>
      <c r="F40" s="734" t="s">
        <v>104</v>
      </c>
      <c r="G40" s="724" t="s">
        <v>105</v>
      </c>
      <c r="H40" s="724" t="s">
        <v>105</v>
      </c>
      <c r="I40" s="722" t="s">
        <v>106</v>
      </c>
      <c r="K40" s="1563"/>
      <c r="L40" s="1563"/>
      <c r="M40" s="1551" t="str">
        <f t="array" ref="M40">IF(ISERROR(MATCH(MID(N40,1,250),MID(note_ter,1,250),0)),"n","y")</f>
        <v>n</v>
      </c>
      <c r="N40" s="1563"/>
      <c r="O40" s="1551" t="str">
        <f>H40&amp;"("&amp;I40&amp;")"</f>
        <v>Город Батайск(60707000)</v>
      </c>
      <c r="P40" s="1087"/>
      <c r="Q40" s="1087"/>
      <c r="R40" s="357"/>
      <c r="S40" s="1087"/>
      <c r="T40" s="1087"/>
      <c r="U40" s="1087"/>
      <c r="V40" s="359"/>
      <c r="W40" s="359"/>
      <c r="X40" s="356"/>
      <c r="Y40" s="356"/>
      <c r="Z40" s="356"/>
      <c r="AA40" s="356"/>
      <c r="AB40" s="356"/>
      <c r="AC40" s="356"/>
    </row>
    <row r="41" spans="1:29" ht="15" customHeight="1">
      <c r="A41" s="2446"/>
      <c r="B41" s="1087"/>
      <c r="C41" s="349"/>
      <c r="D41" s="732"/>
      <c r="E41" s="358"/>
      <c r="F41" s="114"/>
      <c r="G41" s="352" t="s">
        <v>110</v>
      </c>
      <c r="H41" s="124"/>
      <c r="I41" s="361"/>
      <c r="J41" s="1563"/>
      <c r="K41" s="1563"/>
      <c r="L41" s="1563"/>
      <c r="M41" s="1563"/>
      <c r="O41" s="1563"/>
      <c r="P41" s="1087"/>
      <c r="Q41" s="1087"/>
      <c r="R41" s="357"/>
      <c r="S41" s="1087"/>
      <c r="T41" s="1087"/>
      <c r="U41" s="1087"/>
      <c r="V41" s="359"/>
      <c r="W41" s="359"/>
      <c r="X41" s="356"/>
      <c r="Y41" s="356"/>
      <c r="Z41" s="356"/>
      <c r="AA41" s="356"/>
      <c r="AB41" s="356"/>
      <c r="AC41" s="356"/>
    </row>
    <row r="42" spans="1:29" s="1746" customFormat="1" ht="14.65" customHeight="1">
      <c r="A42" s="693"/>
      <c r="B42" s="354"/>
      <c r="C42" s="693"/>
      <c r="D42" s="713"/>
      <c r="E42" s="725"/>
      <c r="F42" s="115"/>
      <c r="G42" s="353" t="s">
        <v>171</v>
      </c>
      <c r="H42" s="115"/>
      <c r="I42" s="116"/>
      <c r="J42" s="186"/>
      <c r="K42" s="92"/>
      <c r="L42" s="92"/>
      <c r="M42" s="92"/>
      <c r="N42" s="163" t="s">
        <v>172</v>
      </c>
      <c r="O42" s="92"/>
      <c r="P42" s="162"/>
      <c r="Q42" s="162"/>
      <c r="R42" s="162"/>
      <c r="S42" s="162"/>
      <c r="AC42" s="55">
        <v>14</v>
      </c>
    </row>
    <row r="43" spans="1:29" s="1746" customFormat="1" ht="21.95" customHeight="1">
      <c r="A43" s="693"/>
      <c r="B43" s="354"/>
      <c r="C43" s="693"/>
      <c r="D43" s="102"/>
      <c r="E43" s="117"/>
      <c r="F43" s="117"/>
      <c r="G43" s="117"/>
      <c r="H43" s="117"/>
      <c r="I43" s="117"/>
      <c r="J43" s="92"/>
      <c r="K43" s="92"/>
      <c r="L43" s="92"/>
      <c r="M43" s="92"/>
      <c r="N43" s="163"/>
      <c r="O43" s="92"/>
      <c r="P43" s="162"/>
      <c r="Q43" s="162"/>
      <c r="R43" s="162"/>
      <c r="S43" s="162"/>
      <c r="AC43" s="55">
        <v>21</v>
      </c>
    </row>
    <row r="44" spans="1:29" s="1746" customFormat="1" ht="14.65" customHeight="1">
      <c r="A44" s="693"/>
      <c r="B44" s="354"/>
      <c r="C44" s="693"/>
      <c r="D44" s="102"/>
      <c r="E44" s="22"/>
      <c r="F44" s="693"/>
      <c r="G44" s="22"/>
      <c r="H44" s="22"/>
      <c r="I44" s="22"/>
      <c r="J44" s="92"/>
      <c r="K44" s="92"/>
      <c r="L44" s="92"/>
      <c r="M44" s="92"/>
      <c r="N44" s="163"/>
      <c r="O44" s="92"/>
      <c r="P44" s="162"/>
      <c r="Q44" s="162"/>
      <c r="R44" s="162"/>
      <c r="S44" s="162"/>
      <c r="AC44" s="55">
        <v>14</v>
      </c>
    </row>
    <row r="45" spans="1:29" s="1746" customFormat="1" ht="1.1499999999999999" customHeight="1">
      <c r="A45" s="693"/>
      <c r="B45" s="354"/>
      <c r="C45" s="693"/>
      <c r="D45" s="102"/>
      <c r="E45" s="22"/>
      <c r="F45" s="693"/>
      <c r="G45" s="22"/>
      <c r="H45" s="22"/>
      <c r="I45" s="22"/>
      <c r="J45" s="92"/>
      <c r="K45" s="92"/>
      <c r="L45" s="92"/>
      <c r="M45" s="92"/>
      <c r="N45" s="163"/>
      <c r="O45" s="92"/>
      <c r="P45" s="162"/>
      <c r="Q45" s="162"/>
      <c r="R45" s="162"/>
      <c r="S45" s="162"/>
      <c r="AC45" s="55">
        <v>1</v>
      </c>
    </row>
    <row r="46" spans="1:29" s="994" customFormat="1" ht="10.5" customHeight="1">
      <c r="B46" s="765"/>
      <c r="D46" s="119"/>
      <c r="J46" s="92"/>
      <c r="K46" s="92"/>
      <c r="L46" s="92"/>
      <c r="M46" s="92"/>
      <c r="N46" s="163"/>
      <c r="O46" s="92"/>
      <c r="P46" s="162"/>
      <c r="Q46" s="162"/>
      <c r="R46" s="162"/>
      <c r="S46" s="162"/>
      <c r="AC46" s="118">
        <v>10</v>
      </c>
    </row>
    <row r="47" spans="1:29" s="994" customFormat="1" ht="10.5" customHeight="1">
      <c r="B47" s="765"/>
      <c r="D47" s="119"/>
      <c r="J47" s="92"/>
      <c r="K47" s="92"/>
      <c r="L47" s="92"/>
      <c r="M47" s="92"/>
      <c r="N47" s="163"/>
      <c r="O47" s="92"/>
      <c r="P47" s="162"/>
      <c r="Q47" s="162"/>
      <c r="R47" s="162"/>
      <c r="S47" s="162"/>
      <c r="AC47" s="118">
        <v>10</v>
      </c>
    </row>
    <row r="48" spans="1:29" ht="14.65" customHeight="1">
      <c r="AC48" s="22">
        <v>14</v>
      </c>
    </row>
    <row r="49" spans="1:29" ht="14.65" customHeight="1">
      <c r="AC49" s="22">
        <v>14</v>
      </c>
    </row>
    <row r="50" spans="1:29" ht="14.65" customHeight="1">
      <c r="AC50" s="22">
        <v>14</v>
      </c>
    </row>
    <row r="51" spans="1:29" ht="14.65" customHeight="1">
      <c r="H51" s="3"/>
      <c r="AC51" s="22">
        <v>14</v>
      </c>
    </row>
    <row r="52" spans="1:29" ht="14.65" customHeight="1">
      <c r="AC52" s="22">
        <v>14</v>
      </c>
    </row>
    <row r="53" spans="1:29" ht="14.65" customHeight="1">
      <c r="AC53" s="22">
        <v>14</v>
      </c>
    </row>
    <row r="54" spans="1:29" ht="14.65" customHeight="1">
      <c r="AC54" s="22">
        <v>14</v>
      </c>
    </row>
    <row r="55" spans="1:29" ht="14.65" customHeight="1">
      <c r="J55" s="22"/>
      <c r="K55" s="22"/>
      <c r="L55" s="22"/>
      <c r="AC55" s="22">
        <v>14</v>
      </c>
    </row>
    <row r="56" spans="1:29" ht="22.5" hidden="1" customHeight="1">
      <c r="A56" s="693" t="s">
        <v>82</v>
      </c>
      <c r="B56" s="354">
        <v>0</v>
      </c>
      <c r="C56" s="693">
        <v>3</v>
      </c>
      <c r="D56" s="102">
        <v>3</v>
      </c>
      <c r="E56" s="22">
        <v>6</v>
      </c>
      <c r="F56" s="693">
        <v>0</v>
      </c>
      <c r="G56" s="22">
        <v>46</v>
      </c>
      <c r="H56" s="22">
        <v>42</v>
      </c>
      <c r="I56" s="22">
        <v>14</v>
      </c>
      <c r="J56" s="92">
        <v>3</v>
      </c>
      <c r="K56" s="92">
        <v>0</v>
      </c>
      <c r="L56" s="92">
        <v>0</v>
      </c>
      <c r="M56" s="92">
        <v>0</v>
      </c>
      <c r="N56" s="163">
        <v>0</v>
      </c>
      <c r="O56" s="92">
        <v>0</v>
      </c>
      <c r="P56" s="162">
        <v>0</v>
      </c>
      <c r="Q56" s="162">
        <v>0</v>
      </c>
      <c r="R56" s="162">
        <v>0</v>
      </c>
      <c r="S56" s="162">
        <v>0</v>
      </c>
      <c r="T56" s="22">
        <v>0</v>
      </c>
      <c r="U56" s="22">
        <v>0</v>
      </c>
      <c r="V56" s="22">
        <v>0</v>
      </c>
      <c r="W56" s="22">
        <v>0</v>
      </c>
      <c r="X56" s="22">
        <v>0</v>
      </c>
      <c r="Y56" s="22">
        <v>0</v>
      </c>
      <c r="Z56" s="22">
        <v>0</v>
      </c>
      <c r="AA56" s="22">
        <v>0</v>
      </c>
      <c r="AB56" s="22">
        <v>8</v>
      </c>
      <c r="AC56" s="22">
        <v>23</v>
      </c>
    </row>
  </sheetData>
  <sheetProtection formatColumns="0" formatRows="0" insertRows="0" deleteColumns="0" deleteRows="0" sort="0" autoFilter="0"/>
  <mergeCells count="8">
    <mergeCell ref="A24:A30"/>
    <mergeCell ref="A31:A38"/>
    <mergeCell ref="A39:A41"/>
    <mergeCell ref="A12:A16"/>
    <mergeCell ref="E4:I4"/>
    <mergeCell ref="E8:G8"/>
    <mergeCell ref="H8:I8"/>
    <mergeCell ref="A17:A23"/>
  </mergeCells>
  <dataValidations count="5">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601">
        <v>1</v>
      </c>
      <c r="F2" s="1290"/>
      <c r="G2" s="1290"/>
      <c r="H2" s="1290"/>
      <c r="I2" s="1290"/>
      <c r="J2" s="1290"/>
      <c r="K2" s="1290"/>
      <c r="L2" s="1291"/>
      <c r="M2" s="1292"/>
      <c r="N2" s="1292"/>
      <c r="O2" s="1292"/>
      <c r="P2" s="298"/>
      <c r="Q2" s="297"/>
      <c r="R2" s="292"/>
      <c r="S2" s="1420" t="e">
        <f>INDEX(PT_DIFFERENTIATION_NUM_NTAR,MATCH(A2,PT_DIFFERENTIATION_NTAR_ID,0))</f>
        <v>#N/A</v>
      </c>
      <c r="T2" s="235" t="s">
        <v>189</v>
      </c>
      <c r="U2" s="237"/>
      <c r="V2" s="2595"/>
      <c r="W2" s="2596"/>
      <c r="X2" s="2596"/>
      <c r="Y2" s="2596"/>
      <c r="Z2" s="2596"/>
      <c r="AA2" s="2596"/>
      <c r="AB2" s="2596"/>
      <c r="AC2" s="2596"/>
      <c r="AD2" s="2596"/>
      <c r="AE2" s="2596"/>
      <c r="AF2" s="2597"/>
      <c r="AG2" s="2595" t="e">
        <f>INDEX(PT_DIFFERENTIATION_NTAR,MATCH(A2,PT_DIFFERENTIATION_NTAR_ID,0))</f>
        <v>#N/A</v>
      </c>
      <c r="AH2" s="2596"/>
      <c r="AI2" s="2596"/>
      <c r="AJ2" s="2596"/>
      <c r="AK2" s="2596"/>
      <c r="AL2" s="2596"/>
      <c r="AM2" s="2596"/>
      <c r="AN2" s="2596"/>
      <c r="AO2" s="2596"/>
      <c r="AP2" s="2596"/>
      <c r="AQ2" s="2596"/>
      <c r="AR2" s="259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602"/>
      <c r="F3" s="2601">
        <v>1</v>
      </c>
      <c r="G3" s="1290"/>
      <c r="H3" s="1290"/>
      <c r="I3" s="1290"/>
      <c r="J3" s="1290"/>
      <c r="K3" s="1290"/>
      <c r="L3" s="1291"/>
      <c r="M3" s="1292"/>
      <c r="N3" s="1292"/>
      <c r="O3" s="1292"/>
      <c r="P3" s="1414"/>
      <c r="Q3" s="289"/>
      <c r="R3" s="290"/>
      <c r="S3" s="1420" t="e">
        <f>INDEX(PT_DIFFERENTIATION_NUM_TER,MATCH(B3,PT_DIFFERENTIATION_TER_ID,0))</f>
        <v>#N/A</v>
      </c>
      <c r="T3" s="245" t="s">
        <v>477</v>
      </c>
      <c r="U3" s="237"/>
      <c r="V3" s="2595"/>
      <c r="W3" s="2596"/>
      <c r="X3" s="2596"/>
      <c r="Y3" s="2596"/>
      <c r="Z3" s="2596"/>
      <c r="AA3" s="2596"/>
      <c r="AB3" s="2596"/>
      <c r="AC3" s="2596"/>
      <c r="AD3" s="2596"/>
      <c r="AE3" s="2596"/>
      <c r="AF3" s="2597"/>
      <c r="AG3" s="2595" t="e">
        <f>INDEX(PT_DIFFERENTIATION_TER,MATCH(B3,PT_DIFFERENTIATION_TER_ID,0))</f>
        <v>#N/A</v>
      </c>
      <c r="AH3" s="2596"/>
      <c r="AI3" s="2596"/>
      <c r="AJ3" s="2596"/>
      <c r="AK3" s="2596"/>
      <c r="AL3" s="2596"/>
      <c r="AM3" s="2596"/>
      <c r="AN3" s="2596"/>
      <c r="AO3" s="2596"/>
      <c r="AP3" s="2596"/>
      <c r="AQ3" s="2596"/>
      <c r="AR3" s="2597"/>
      <c r="AS3" s="1185" t="s">
        <v>478</v>
      </c>
      <c r="AU3" s="437"/>
      <c r="AV3" s="437" t="str">
        <f t="shared" si="0"/>
        <v>Территория действия тарифа</v>
      </c>
      <c r="AW3" s="437"/>
      <c r="AX3" s="437"/>
      <c r="AY3" s="1082">
        <v>0</v>
      </c>
    </row>
    <row r="4" spans="1:51" ht="23.25" hidden="1" customHeight="1">
      <c r="A4" s="1290"/>
      <c r="B4" s="1290"/>
      <c r="C4" s="1290"/>
      <c r="D4" s="1290"/>
      <c r="E4" s="2602"/>
      <c r="F4" s="2602"/>
      <c r="G4" s="2601">
        <v>1</v>
      </c>
      <c r="H4" s="1290"/>
      <c r="I4" s="1290"/>
      <c r="J4" s="1290"/>
      <c r="K4" s="1290"/>
      <c r="L4" s="1291"/>
      <c r="M4" s="1292"/>
      <c r="N4" s="1292"/>
      <c r="O4" s="1292"/>
      <c r="P4" s="291"/>
      <c r="Q4" s="289"/>
      <c r="R4" s="290"/>
      <c r="S4" s="1420" t="e">
        <f>INDEX(PT_DIFFERENTIATION_NUM_CS,MATCH(C4,PT_DIFFERENTIATION_CS_ID,0))</f>
        <v>#N/A</v>
      </c>
      <c r="T4" s="246" t="s">
        <v>609</v>
      </c>
      <c r="U4" s="237"/>
      <c r="V4" s="2595"/>
      <c r="W4" s="2596"/>
      <c r="X4" s="2596"/>
      <c r="Y4" s="2596"/>
      <c r="Z4" s="2596"/>
      <c r="AA4" s="2596"/>
      <c r="AB4" s="2596"/>
      <c r="AC4" s="2596"/>
      <c r="AD4" s="2596"/>
      <c r="AE4" s="2596"/>
      <c r="AF4" s="2597"/>
      <c r="AG4" s="2595" t="e">
        <f>INDEX(PT_DIFFERENTIATION_CS,MATCH(C4,PT_DIFFERENTIATION_CS_ID,0))</f>
        <v>#N/A</v>
      </c>
      <c r="AH4" s="2596"/>
      <c r="AI4" s="2596"/>
      <c r="AJ4" s="2596"/>
      <c r="AK4" s="2596"/>
      <c r="AL4" s="2596"/>
      <c r="AM4" s="2596"/>
      <c r="AN4" s="2596"/>
      <c r="AO4" s="2596"/>
      <c r="AP4" s="2596"/>
      <c r="AQ4" s="2596"/>
      <c r="AR4" s="2597"/>
      <c r="AS4" s="1185" t="s">
        <v>610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602"/>
      <c r="F5" s="2602"/>
      <c r="G5" s="2602"/>
      <c r="H5" s="2602"/>
      <c r="I5" s="2603" t="e">
        <f>S4&amp;".1"</f>
        <v>#N/A</v>
      </c>
      <c r="J5" s="1290"/>
      <c r="K5" s="1290"/>
      <c r="L5" s="1291"/>
      <c r="P5" s="2605">
        <v>1</v>
      </c>
      <c r="Q5" s="1408"/>
      <c r="R5" s="293"/>
      <c r="S5" s="1420" t="e">
        <f>$I5</f>
        <v>#N/A</v>
      </c>
      <c r="T5" s="222" t="s">
        <v>560</v>
      </c>
      <c r="U5" s="237"/>
      <c r="V5" s="2669"/>
      <c r="W5" s="2670"/>
      <c r="X5" s="2670"/>
      <c r="Y5" s="2670"/>
      <c r="Z5" s="2670"/>
      <c r="AA5" s="2670"/>
      <c r="AB5" s="2670"/>
      <c r="AC5" s="2670"/>
      <c r="AD5" s="2670"/>
      <c r="AE5" s="2670"/>
      <c r="AF5" s="2671"/>
      <c r="AG5" s="2672"/>
      <c r="AH5" s="2673"/>
      <c r="AI5" s="2673"/>
      <c r="AJ5" s="2673"/>
      <c r="AK5" s="2673"/>
      <c r="AL5" s="2673"/>
      <c r="AM5" s="2673"/>
      <c r="AN5" s="2673"/>
      <c r="AO5" s="2673"/>
      <c r="AP5" s="2673"/>
      <c r="AQ5" s="2673"/>
      <c r="AR5" s="2674"/>
      <c r="AS5" s="1185" t="s">
        <v>561</v>
      </c>
      <c r="AU5" s="437"/>
      <c r="AV5" s="437" t="str">
        <f t="shared" si="0"/>
        <v>Наименование признака дифференциации</v>
      </c>
      <c r="AW5" s="437"/>
      <c r="AX5" s="437"/>
      <c r="AY5" s="1082">
        <v>0</v>
      </c>
    </row>
    <row r="6" spans="1:51" ht="23.25" hidden="1" customHeight="1">
      <c r="A6" s="1290"/>
      <c r="B6" s="1290"/>
      <c r="C6" s="1290"/>
      <c r="D6" s="1290"/>
      <c r="E6" s="2602"/>
      <c r="F6" s="2602"/>
      <c r="G6" s="2602"/>
      <c r="H6" s="2602"/>
      <c r="I6" s="2604"/>
      <c r="J6" s="2603" t="e">
        <f>I5&amp;".1"</f>
        <v>#N/A</v>
      </c>
      <c r="K6" s="1290"/>
      <c r="L6" s="1291" t="s">
        <v>486</v>
      </c>
      <c r="P6" s="2605"/>
      <c r="Q6" s="2605">
        <v>1</v>
      </c>
      <c r="R6" s="294"/>
      <c r="S6" s="1420" t="e">
        <f>$J6</f>
        <v>#N/A</v>
      </c>
      <c r="T6" s="223" t="s">
        <v>487</v>
      </c>
      <c r="U6" s="237"/>
      <c r="V6" s="2589"/>
      <c r="W6" s="2590"/>
      <c r="X6" s="2590"/>
      <c r="Y6" s="2590"/>
      <c r="Z6" s="2590"/>
      <c r="AA6" s="2590"/>
      <c r="AB6" s="2590"/>
      <c r="AC6" s="2590"/>
      <c r="AD6" s="2590"/>
      <c r="AE6" s="2590"/>
      <c r="AF6" s="2591"/>
      <c r="AG6" s="2589"/>
      <c r="AH6" s="2590"/>
      <c r="AI6" s="2590"/>
      <c r="AJ6" s="2590"/>
      <c r="AK6" s="2590"/>
      <c r="AL6" s="2590"/>
      <c r="AM6" s="2590"/>
      <c r="AN6" s="2590"/>
      <c r="AO6" s="2590"/>
      <c r="AP6" s="2590"/>
      <c r="AQ6" s="2590"/>
      <c r="AR6" s="2591"/>
      <c r="AS6" s="1234" t="s">
        <v>562</v>
      </c>
      <c r="AU6" s="437"/>
      <c r="AV6" s="437" t="str">
        <f t="shared" si="0"/>
        <v>Группа потребителей</v>
      </c>
      <c r="AW6" s="437"/>
      <c r="AX6" s="437"/>
      <c r="AY6" s="1082">
        <v>0</v>
      </c>
    </row>
    <row r="7" spans="1:51" ht="23.25" hidden="1" customHeight="1">
      <c r="A7" s="1290"/>
      <c r="B7" s="1290"/>
      <c r="C7" s="1290"/>
      <c r="D7" s="1290"/>
      <c r="E7" s="2602"/>
      <c r="F7" s="2602"/>
      <c r="G7" s="2602"/>
      <c r="H7" s="2602"/>
      <c r="I7" s="2604"/>
      <c r="J7" s="2604"/>
      <c r="K7" s="2603" t="e">
        <f>J6&amp;".1"</f>
        <v>#N/A</v>
      </c>
      <c r="L7" s="1291"/>
      <c r="P7" s="2605"/>
      <c r="Q7" s="2605"/>
      <c r="R7" s="294">
        <v>1</v>
      </c>
      <c r="S7" s="1420" t="e">
        <f>$K7</f>
        <v>#N/A</v>
      </c>
      <c r="T7" s="1364"/>
      <c r="U7" s="237"/>
      <c r="V7" s="688"/>
      <c r="W7" s="688"/>
      <c r="X7" s="688"/>
      <c r="Y7" s="688"/>
      <c r="Z7" s="688"/>
      <c r="AA7" s="688"/>
      <c r="AB7" s="688"/>
      <c r="AC7" s="2606"/>
      <c r="AD7" s="2471" t="s">
        <v>66</v>
      </c>
      <c r="AE7" s="2606"/>
      <c r="AF7" s="2471" t="s">
        <v>66</v>
      </c>
      <c r="AG7" s="688"/>
      <c r="AH7" s="688"/>
      <c r="AI7" s="688"/>
      <c r="AJ7" s="688"/>
      <c r="AK7" s="688"/>
      <c r="AL7" s="688"/>
      <c r="AM7" s="688"/>
      <c r="AN7" s="2606"/>
      <c r="AO7" s="2471" t="s">
        <v>66</v>
      </c>
      <c r="AP7" s="2608"/>
      <c r="AQ7" s="2471" t="s">
        <v>66</v>
      </c>
      <c r="AR7" s="1365"/>
      <c r="AS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602"/>
      <c r="F8" s="2602"/>
      <c r="G8" s="2602"/>
      <c r="H8" s="2602"/>
      <c r="I8" s="2604"/>
      <c r="J8" s="2604"/>
      <c r="K8" s="2603"/>
      <c r="L8" s="1291"/>
      <c r="P8" s="2605"/>
      <c r="Q8" s="2605"/>
      <c r="R8" s="294"/>
      <c r="S8" s="1417"/>
      <c r="T8" s="237"/>
      <c r="U8" s="237"/>
      <c r="V8" s="262"/>
      <c r="W8" s="262"/>
      <c r="X8" s="262"/>
      <c r="Y8" s="262"/>
      <c r="Z8" s="262"/>
      <c r="AA8" s="262"/>
      <c r="AB8" s="262"/>
      <c r="AC8" s="2607"/>
      <c r="AD8" s="2471"/>
      <c r="AE8" s="2607"/>
      <c r="AF8" s="2471"/>
      <c r="AG8" s="262"/>
      <c r="AH8" s="262"/>
      <c r="AI8" s="262"/>
      <c r="AJ8" s="262"/>
      <c r="AK8" s="262"/>
      <c r="AL8" s="262"/>
      <c r="AM8" s="262"/>
      <c r="AN8" s="2607"/>
      <c r="AO8" s="2471"/>
      <c r="AP8" s="2609"/>
      <c r="AQ8" s="2471"/>
      <c r="AR8" s="1366"/>
      <c r="AS8" s="2675"/>
      <c r="AU8" s="437"/>
      <c r="AV8" s="437" t="str">
        <f t="shared" si="0"/>
        <v/>
      </c>
      <c r="AW8" s="437"/>
      <c r="AX8" s="437"/>
      <c r="AY8" s="1082">
        <v>0</v>
      </c>
    </row>
    <row r="9" spans="1:51" ht="21" hidden="1" customHeight="1">
      <c r="A9" s="1290"/>
      <c r="B9" s="1290"/>
      <c r="C9" s="1290"/>
      <c r="D9" s="1290"/>
      <c r="E9" s="2602"/>
      <c r="F9" s="2602"/>
      <c r="G9" s="2602"/>
      <c r="H9" s="2602"/>
      <c r="I9" s="2604"/>
      <c r="J9" s="2603"/>
      <c r="K9" s="1290"/>
      <c r="L9" s="1291"/>
      <c r="P9" s="2605"/>
      <c r="Q9" s="2605"/>
      <c r="R9" s="293"/>
      <c r="S9" s="1205"/>
      <c r="T9" s="224" t="s">
        <v>563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564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602"/>
      <c r="F10" s="2602"/>
      <c r="G10" s="2602"/>
      <c r="H10" s="2602"/>
      <c r="I10" s="2603"/>
      <c r="J10" s="1290"/>
      <c r="K10" s="1290"/>
      <c r="L10" s="1291"/>
      <c r="P10" s="2605"/>
      <c r="Q10" s="1408"/>
      <c r="R10" s="293"/>
      <c r="S10" s="1205"/>
      <c r="T10" s="302" t="s">
        <v>492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602"/>
      <c r="F12" s="2601"/>
      <c r="G12" s="1241"/>
      <c r="H12" s="1241"/>
      <c r="I12" s="1241"/>
      <c r="J12" s="1241"/>
      <c r="K12" s="1241"/>
      <c r="L12" s="1421"/>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599"/>
      <c r="AO15" s="2598" t="s">
        <v>66</v>
      </c>
      <c r="AP15" s="2599"/>
      <c r="AQ15" s="2598" t="s">
        <v>66</v>
      </c>
      <c r="AY15" s="1082">
        <v>0</v>
      </c>
    </row>
    <row r="16" spans="1:51" ht="14.25" hidden="1" customHeight="1">
      <c r="AG16" s="1287"/>
      <c r="AH16" s="1287"/>
      <c r="AI16" s="1287"/>
      <c r="AJ16" s="1287"/>
      <c r="AK16" s="1287"/>
      <c r="AL16" s="1287"/>
      <c r="AM16" s="1287"/>
      <c r="AN16" s="2598"/>
      <c r="AO16" s="2598"/>
      <c r="AP16" s="2598"/>
      <c r="AQ16" s="2598"/>
      <c r="AY16" s="1082">
        <v>0</v>
      </c>
    </row>
    <row r="17" spans="1:51" ht="14.25" hidden="1" customHeight="1">
      <c r="AQ17" s="264"/>
      <c r="AY17" s="1082">
        <v>0</v>
      </c>
    </row>
    <row r="18" spans="1:51" s="1293" customFormat="1" ht="22.5" hidden="1" customHeight="1">
      <c r="L18" s="1405"/>
      <c r="M18" s="1289"/>
      <c r="N18" s="1289"/>
      <c r="O18" s="1294" t="s">
        <v>495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496</v>
      </c>
      <c r="P20" s="1289"/>
      <c r="Q20" s="1369"/>
      <c r="R20" s="1369"/>
      <c r="S20" s="666"/>
      <c r="T20" s="1087" t="s">
        <v>497</v>
      </c>
      <c r="AD20" s="123" t="s">
        <v>498</v>
      </c>
      <c r="AF20" s="123" t="s">
        <v>499</v>
      </c>
      <c r="AG20" s="1087" t="s">
        <v>497</v>
      </c>
      <c r="AO20" s="123" t="s">
        <v>500</v>
      </c>
      <c r="AQ20" s="123" t="s">
        <v>499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58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82"/>
      <c r="U24" s="2582"/>
      <c r="V24" s="2582"/>
      <c r="W24" s="2582"/>
      <c r="X24" s="2582"/>
      <c r="Y24" s="2582"/>
      <c r="Z24" s="2582"/>
      <c r="AA24" s="2582"/>
      <c r="AB24" s="2582"/>
      <c r="AC24" s="2582"/>
      <c r="AD24" s="2582"/>
      <c r="AE24" s="2582"/>
      <c r="AF24" s="2582"/>
      <c r="AG24" s="2582"/>
      <c r="AH24" s="2582"/>
      <c r="AI24" s="2582"/>
      <c r="AJ24" s="2582"/>
      <c r="AK24" s="2582"/>
      <c r="AL24" s="2582"/>
      <c r="AM24" s="2582"/>
      <c r="AN24" s="2582"/>
      <c r="AO24" s="2582"/>
      <c r="AP24" s="2582"/>
      <c r="AQ24" s="1170"/>
      <c r="AY24" s="1082">
        <v>25</v>
      </c>
    </row>
    <row r="25" spans="1:51"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594"/>
      <c r="AC27" s="2594"/>
      <c r="AD27" s="2594"/>
      <c r="AE27" s="2594"/>
      <c r="AF27" s="263"/>
      <c r="AG27" s="2594" t="str">
        <f>IF(TITLE_NAME_OR_PR_CHANGE="",IF(TITLE_NAME_OR_PR="","",TITLE_NAME_OR_PR),TITLE_NAME_OR_PR_CHANGE)</f>
        <v>Региональная служба по тарифам Ростовской области</v>
      </c>
      <c r="AH27" s="2594"/>
      <c r="AI27" s="2594"/>
      <c r="AJ27" s="2594"/>
      <c r="AK27" s="2594"/>
      <c r="AL27" s="2594"/>
      <c r="AM27" s="2594"/>
      <c r="AN27" s="2594"/>
      <c r="AO27" s="2594"/>
      <c r="AP27" s="2594"/>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593"/>
      <c r="AC28" s="2593"/>
      <c r="AD28" s="2593"/>
      <c r="AE28" s="2593"/>
      <c r="AF28" s="263"/>
      <c r="AG28" s="2593">
        <f>IF(TITLE_DATE_PR_CHANGE="",IF(TITLE_DATE_PR="","",TITLE_DATE_PR),TITLE_DATE_PR_CHANGE)</f>
        <v>45596.468541666669</v>
      </c>
      <c r="AH28" s="2593"/>
      <c r="AI28" s="2593"/>
      <c r="AJ28" s="2593"/>
      <c r="AK28" s="2593"/>
      <c r="AL28" s="2593"/>
      <c r="AM28" s="2593"/>
      <c r="AN28" s="2593"/>
      <c r="AO28" s="2593"/>
      <c r="AP28" s="2593"/>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594"/>
      <c r="AC29" s="2594"/>
      <c r="AD29" s="2594"/>
      <c r="AE29" s="2594"/>
      <c r="AF29" s="263"/>
      <c r="AG29" s="2594" t="str">
        <f>IF(TITLE_NUMBER_PR_CHANGE="",IF(TITLE_NUMBER_PR="","",TITLE_NUMBER_PR),TITLE_NUMBER_PR_CHANGE)</f>
        <v>440,503</v>
      </c>
      <c r="AH29" s="2594"/>
      <c r="AI29" s="2594"/>
      <c r="AJ29" s="2594"/>
      <c r="AK29" s="2594"/>
      <c r="AL29" s="2594"/>
      <c r="AM29" s="2594"/>
      <c r="AN29" s="2594"/>
      <c r="AO29" s="2594"/>
      <c r="AP29" s="2594"/>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594"/>
      <c r="AC30" s="2594"/>
      <c r="AD30" s="2594"/>
      <c r="AE30" s="2594"/>
      <c r="AF30" s="263"/>
      <c r="AG30" s="2594" t="str">
        <f>IF(TITLE_IST_PUB_CHANGE="",IF(TITLE_IST_PUB="","",TITLE_IST_PUB),TITLE_IST_PUB_CHANGE)</f>
        <v>Региональная служба по тарифам Ростовской области</v>
      </c>
      <c r="AH30" s="2594"/>
      <c r="AI30" s="2594"/>
      <c r="AJ30" s="2594"/>
      <c r="AK30" s="2594"/>
      <c r="AL30" s="2594"/>
      <c r="AM30" s="2594"/>
      <c r="AN30" s="2594"/>
      <c r="AO30" s="2594"/>
      <c r="AP30" s="259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593"/>
      <c r="AC32" s="2593"/>
      <c r="AD32" s="2593"/>
      <c r="AE32" s="2593"/>
      <c r="AF32" s="263"/>
      <c r="AG32" s="2593">
        <f>IF(TITLE_DATE_PR_CHANGE="",IF(TITLE_DATE_PR="","",TITLE_DATE_PR),TITLE_DATE_PR_CHANGE)</f>
        <v>45596.468541666669</v>
      </c>
      <c r="AH32" s="2593"/>
      <c r="AI32" s="2593"/>
      <c r="AJ32" s="2593"/>
      <c r="AK32" s="2593"/>
      <c r="AL32" s="2593"/>
      <c r="AM32" s="2593"/>
      <c r="AN32" s="2593"/>
      <c r="AO32" s="2593"/>
      <c r="AP32" s="259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594"/>
      <c r="AC33" s="2594"/>
      <c r="AD33" s="2594"/>
      <c r="AE33" s="2594"/>
      <c r="AF33" s="263"/>
      <c r="AG33" s="2594" t="str">
        <f>IF(TITLE_NUMBER_PR_CHANGE="",IF(TITLE_NUMBER_PR="","",TITLE_NUMBER_PR),TITLE_NUMBER_PR_CHANGE)</f>
        <v>440,503</v>
      </c>
      <c r="AH33" s="2594"/>
      <c r="AI33" s="2594"/>
      <c r="AJ33" s="2594"/>
      <c r="AK33" s="2594"/>
      <c r="AL33" s="2594"/>
      <c r="AM33" s="2594"/>
      <c r="AN33" s="2594"/>
      <c r="AO33" s="2594"/>
      <c r="AP33" s="259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505</v>
      </c>
      <c r="AG34" s="263"/>
      <c r="AH34" s="1562"/>
      <c r="AI34" s="1562"/>
      <c r="AJ34" s="1562"/>
      <c r="AK34" s="1562"/>
      <c r="AL34" s="1562"/>
      <c r="AM34" s="263"/>
      <c r="AN34" s="263"/>
      <c r="AO34" s="263"/>
      <c r="AP34" s="263"/>
      <c r="AQ34" s="215" t="s">
        <v>505</v>
      </c>
      <c r="AT34" s="305"/>
      <c r="AU34" s="305"/>
      <c r="AV34" s="305"/>
      <c r="AW34" s="305"/>
      <c r="AX34" s="305"/>
      <c r="AY34" s="355">
        <v>1</v>
      </c>
    </row>
    <row r="35" spans="1:51" ht="14.65" customHeight="1">
      <c r="Q35" s="313"/>
      <c r="R35" s="313"/>
      <c r="S35" s="1202"/>
      <c r="T35" s="300"/>
      <c r="U35" s="1171"/>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Y35" s="1082">
        <v>14</v>
      </c>
    </row>
    <row r="36" spans="1:51"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c r="AS36" s="2461" t="s">
        <v>381</v>
      </c>
      <c r="AY36" s="1082">
        <v>14</v>
      </c>
    </row>
    <row r="37" spans="1:51" ht="14.65" customHeight="1">
      <c r="Q37" s="313"/>
      <c r="R37" s="313"/>
      <c r="S37" s="2614" t="s">
        <v>88</v>
      </c>
      <c r="T37" s="2563" t="s">
        <v>506</v>
      </c>
      <c r="U37" s="238"/>
      <c r="V37" s="2615" t="s">
        <v>507</v>
      </c>
      <c r="W37" s="2631"/>
      <c r="X37" s="2631"/>
      <c r="Y37" s="2631"/>
      <c r="Z37" s="2631"/>
      <c r="AA37" s="2631"/>
      <c r="AB37" s="2631"/>
      <c r="AC37" s="2616"/>
      <c r="AD37" s="2616"/>
      <c r="AE37" s="2617"/>
      <c r="AF37" s="2618" t="s">
        <v>508</v>
      </c>
      <c r="AG37" s="2615" t="s">
        <v>507</v>
      </c>
      <c r="AH37" s="2616"/>
      <c r="AI37" s="2616"/>
      <c r="AJ37" s="2616"/>
      <c r="AK37" s="2616"/>
      <c r="AL37" s="2616"/>
      <c r="AM37" s="2616"/>
      <c r="AN37" s="2616"/>
      <c r="AO37" s="2616"/>
      <c r="AP37" s="2617"/>
      <c r="AQ37" s="2618" t="s">
        <v>509</v>
      </c>
      <c r="AR37" s="2621" t="s">
        <v>510</v>
      </c>
      <c r="AS37" s="2461"/>
      <c r="AY37" s="1082">
        <v>14</v>
      </c>
    </row>
    <row r="38" spans="1:51" ht="19.899999999999999" customHeight="1">
      <c r="Q38" s="313"/>
      <c r="R38" s="313"/>
      <c r="S38" s="2614"/>
      <c r="T38" s="2563"/>
      <c r="U38" s="961"/>
      <c r="V38" s="2461" t="s">
        <v>611</v>
      </c>
      <c r="W38" s="2685" t="s">
        <v>612</v>
      </c>
      <c r="X38" s="2685"/>
      <c r="Y38" s="2685"/>
      <c r="Z38" s="2685" t="s">
        <v>613</v>
      </c>
      <c r="AA38" s="2685"/>
      <c r="AB38" s="2685"/>
      <c r="AC38" s="2536" t="s">
        <v>514</v>
      </c>
      <c r="AD38" s="2643"/>
      <c r="AE38" s="2537"/>
      <c r="AF38" s="2619"/>
      <c r="AG38" s="2461" t="s">
        <v>611</v>
      </c>
      <c r="AH38" s="2685" t="s">
        <v>612</v>
      </c>
      <c r="AI38" s="2685"/>
      <c r="AJ38" s="2685"/>
      <c r="AK38" s="2685" t="s">
        <v>613</v>
      </c>
      <c r="AL38" s="2685"/>
      <c r="AM38" s="2685"/>
      <c r="AN38" s="2536" t="s">
        <v>514</v>
      </c>
      <c r="AO38" s="2643"/>
      <c r="AP38" s="2537"/>
      <c r="AQ38" s="2619"/>
      <c r="AR38" s="2622"/>
      <c r="AS38" s="2461"/>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614"/>
      <c r="T39" s="2563"/>
      <c r="U39" s="961"/>
      <c r="V39" s="2461"/>
      <c r="W39" s="2685" t="s">
        <v>614</v>
      </c>
      <c r="X39" s="2685" t="s">
        <v>615</v>
      </c>
      <c r="Y39" s="2685"/>
      <c r="Z39" s="2685" t="s">
        <v>616</v>
      </c>
      <c r="AA39" s="2685" t="s">
        <v>615</v>
      </c>
      <c r="AB39" s="2685"/>
      <c r="AC39" s="2541"/>
      <c r="AD39" s="2644"/>
      <c r="AE39" s="2542"/>
      <c r="AF39" s="2619"/>
      <c r="AG39" s="2461"/>
      <c r="AH39" s="2685" t="s">
        <v>614</v>
      </c>
      <c r="AI39" s="2685" t="s">
        <v>615</v>
      </c>
      <c r="AJ39" s="2685"/>
      <c r="AK39" s="2685" t="s">
        <v>616</v>
      </c>
      <c r="AL39" s="2685" t="s">
        <v>615</v>
      </c>
      <c r="AM39" s="2685"/>
      <c r="AN39" s="2541"/>
      <c r="AO39" s="2644"/>
      <c r="AP39" s="2542"/>
      <c r="AQ39" s="2619"/>
      <c r="AR39" s="2622"/>
      <c r="AS39" s="2461"/>
      <c r="AT39" s="1563"/>
      <c r="AU39" s="1563"/>
      <c r="AV39" s="1563"/>
      <c r="AW39" s="1563"/>
      <c r="AX39" s="1563"/>
      <c r="AY39" s="1558">
        <v>19</v>
      </c>
    </row>
    <row r="40" spans="1:51" ht="61.9" customHeight="1">
      <c r="A40" s="1297"/>
      <c r="B40" s="1297" t="s">
        <v>201</v>
      </c>
      <c r="C40" s="1297" t="s">
        <v>202</v>
      </c>
      <c r="D40" s="1297" t="s">
        <v>203</v>
      </c>
      <c r="E40" s="1291" t="s">
        <v>515</v>
      </c>
      <c r="F40" s="1291" t="s">
        <v>516</v>
      </c>
      <c r="G40" s="1291" t="s">
        <v>517</v>
      </c>
      <c r="H40" s="1291"/>
      <c r="I40" s="1291" t="s">
        <v>567</v>
      </c>
      <c r="J40" s="1291" t="s">
        <v>520</v>
      </c>
      <c r="K40" s="1291" t="s">
        <v>568</v>
      </c>
      <c r="L40" s="1291" t="s">
        <v>496</v>
      </c>
      <c r="Q40" s="313"/>
      <c r="R40" s="313"/>
      <c r="S40" s="2614"/>
      <c r="T40" s="2563"/>
      <c r="U40" s="239"/>
      <c r="V40" s="2461"/>
      <c r="W40" s="2685"/>
      <c r="X40" s="1906" t="s">
        <v>617</v>
      </c>
      <c r="Y40" s="1906" t="s">
        <v>618</v>
      </c>
      <c r="Z40" s="2685"/>
      <c r="AA40" s="1906" t="s">
        <v>619</v>
      </c>
      <c r="AB40" s="1906" t="s">
        <v>620</v>
      </c>
      <c r="AC40" s="1416" t="s">
        <v>524</v>
      </c>
      <c r="AD40" s="2568" t="s">
        <v>525</v>
      </c>
      <c r="AE40" s="2581"/>
      <c r="AF40" s="2620"/>
      <c r="AG40" s="2461"/>
      <c r="AH40" s="2685"/>
      <c r="AI40" s="1906" t="s">
        <v>617</v>
      </c>
      <c r="AJ40" s="1906" t="s">
        <v>618</v>
      </c>
      <c r="AK40" s="2685"/>
      <c r="AL40" s="1906" t="s">
        <v>619</v>
      </c>
      <c r="AM40" s="1906" t="s">
        <v>620</v>
      </c>
      <c r="AN40" s="1416" t="s">
        <v>524</v>
      </c>
      <c r="AO40" s="2568" t="s">
        <v>525</v>
      </c>
      <c r="AP40" s="2581"/>
      <c r="AQ40" s="2620"/>
      <c r="AR40" s="2623"/>
      <c r="AS40" s="246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177</v>
      </c>
      <c r="T41" s="1182" t="s">
        <v>102</v>
      </c>
      <c r="U41" s="1172" t="str">
        <f ca="1">OFFSET(U41,0,-1)</f>
        <v>2</v>
      </c>
      <c r="V41" s="1409">
        <f ca="1">OFFSET(V41,0,-1)+1</f>
        <v>3</v>
      </c>
      <c r="W41" s="1268"/>
      <c r="X41" s="1268"/>
      <c r="Y41" s="1268"/>
      <c r="Z41" s="1268"/>
      <c r="AA41" s="1268"/>
      <c r="AB41" s="1268"/>
      <c r="AC41" s="1409">
        <f ca="1">OFFSET(AC41,0,-1)+1</f>
        <v>1</v>
      </c>
      <c r="AD41" s="2612">
        <f ca="1">OFFSET(AD41,0,-1)+1</f>
        <v>2</v>
      </c>
      <c r="AE41" s="2612"/>
      <c r="AF41" s="1409">
        <f ca="1">OFFSET(AF41,0,-2)+1</f>
        <v>3</v>
      </c>
      <c r="AG41" s="1409">
        <f ca="1">OFFSET(AG41,0,-1)+1</f>
        <v>4</v>
      </c>
      <c r="AH41" s="1879"/>
      <c r="AI41" s="1879"/>
      <c r="AJ41" s="1879"/>
      <c r="AK41" s="1879"/>
      <c r="AL41" s="1879"/>
      <c r="AM41" s="1409">
        <f ca="1">OFFSET(AM41,0,-1)+1</f>
        <v>1</v>
      </c>
      <c r="AN41" s="1409">
        <f ca="1">OFFSET(AN41,0,-1)+1</f>
        <v>2</v>
      </c>
      <c r="AO41" s="2612">
        <f ca="1">OFFSET(AO41,0,-1)+1</f>
        <v>3</v>
      </c>
      <c r="AP41" s="2612"/>
      <c r="AQ41" s="1409">
        <f ca="1">OFFSET(AQ41,0,-2)+1</f>
        <v>4</v>
      </c>
      <c r="AR41" s="1172">
        <f ca="1">OFFSET(AR41,0,-1)</f>
        <v>4</v>
      </c>
      <c r="AS41" s="1409">
        <f ca="1">OFFSET(AS41,0,-1)+1</f>
        <v>5</v>
      </c>
      <c r="AT41" s="448"/>
      <c r="AU41" s="448"/>
      <c r="AV41" s="448"/>
      <c r="AW41" s="448"/>
      <c r="AX41" s="448"/>
      <c r="AY41" s="433">
        <v>0</v>
      </c>
    </row>
    <row r="42" spans="1:51" ht="24" customHeight="1">
      <c r="A42" s="1290" t="s">
        <v>331</v>
      </c>
      <c r="B42" s="1290"/>
      <c r="C42" s="1290"/>
      <c r="D42" s="1290"/>
      <c r="E42" s="260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189</v>
      </c>
      <c r="U42" s="237"/>
      <c r="V42" s="2595"/>
      <c r="W42" s="2596"/>
      <c r="X42" s="2596"/>
      <c r="Y42" s="2596"/>
      <c r="Z42" s="2596"/>
      <c r="AA42" s="2596"/>
      <c r="AB42" s="2596"/>
      <c r="AC42" s="2596"/>
      <c r="AD42" s="2596"/>
      <c r="AE42" s="2596"/>
      <c r="AF42" s="2597"/>
      <c r="AG42" s="2595" t="str">
        <f>INDEX(PT_DIFFERENTIATION_NTAR,MATCH(A42,PT_DIFFERENTIATION_NTAR_ID,0))</f>
        <v/>
      </c>
      <c r="AH42" s="2596"/>
      <c r="AI42" s="2596"/>
      <c r="AJ42" s="2596"/>
      <c r="AK42" s="2596"/>
      <c r="AL42" s="2596"/>
      <c r="AM42" s="2596"/>
      <c r="AN42" s="2596"/>
      <c r="AO42" s="2596"/>
      <c r="AP42" s="2596"/>
      <c r="AQ42" s="2596"/>
      <c r="AR42" s="259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331</v>
      </c>
      <c r="B43" s="1290" t="s">
        <v>332</v>
      </c>
      <c r="C43" s="1290"/>
      <c r="D43" s="1290"/>
      <c r="E43" s="2602"/>
      <c r="F43" s="2601">
        <v>1</v>
      </c>
      <c r="G43" s="1290"/>
      <c r="H43" s="1290"/>
      <c r="I43" s="1290"/>
      <c r="J43" s="1290"/>
      <c r="K43" s="1290"/>
      <c r="L43" s="1291"/>
      <c r="M43" s="1292"/>
      <c r="N43" s="1292"/>
      <c r="O43" s="1292"/>
      <c r="P43" s="1414"/>
      <c r="Q43" s="289"/>
      <c r="R43" s="290"/>
      <c r="S43" s="1420" t="str">
        <f>INDEX(PT_DIFFERENTIATION_NUM_TER,MATCH(B43,PT_DIFFERENTIATION_TER_ID,0))</f>
        <v>.</v>
      </c>
      <c r="T43" s="245" t="s">
        <v>477</v>
      </c>
      <c r="U43" s="237"/>
      <c r="V43" s="2595"/>
      <c r="W43" s="2596"/>
      <c r="X43" s="2596"/>
      <c r="Y43" s="2596"/>
      <c r="Z43" s="2596"/>
      <c r="AA43" s="2596"/>
      <c r="AB43" s="2596"/>
      <c r="AC43" s="2596"/>
      <c r="AD43" s="2596"/>
      <c r="AE43" s="2596"/>
      <c r="AF43" s="2597"/>
      <c r="AG43" s="2595" t="str">
        <f>INDEX(PT_DIFFERENTIATION_TER,MATCH(B43,PT_DIFFERENTIATION_TER_ID,0))</f>
        <v/>
      </c>
      <c r="AH43" s="2596"/>
      <c r="AI43" s="2596"/>
      <c r="AJ43" s="2596"/>
      <c r="AK43" s="2596"/>
      <c r="AL43" s="2596"/>
      <c r="AM43" s="2596"/>
      <c r="AN43" s="2596"/>
      <c r="AO43" s="2596"/>
      <c r="AP43" s="2596"/>
      <c r="AQ43" s="2596"/>
      <c r="AR43" s="2597"/>
      <c r="AS43" s="1185" t="s">
        <v>478</v>
      </c>
      <c r="AU43" s="437"/>
      <c r="AV43" s="437" t="str">
        <f t="shared" si="1"/>
        <v>Территория действия тарифа</v>
      </c>
      <c r="AW43" s="437"/>
      <c r="AX43" s="437"/>
      <c r="AY43" s="1082">
        <v>23</v>
      </c>
    </row>
    <row r="44" spans="1:51" ht="24" customHeight="1">
      <c r="A44" s="1290" t="s">
        <v>331</v>
      </c>
      <c r="B44" s="1290" t="s">
        <v>332</v>
      </c>
      <c r="C44" s="1290" t="s">
        <v>333</v>
      </c>
      <c r="D44" s="1290"/>
      <c r="E44" s="2602"/>
      <c r="F44" s="2602"/>
      <c r="G44" s="2601">
        <v>1</v>
      </c>
      <c r="H44" s="1290"/>
      <c r="I44" s="1290"/>
      <c r="J44" s="1290"/>
      <c r="K44" s="1290"/>
      <c r="L44" s="1291"/>
      <c r="M44" s="1292"/>
      <c r="N44" s="1292"/>
      <c r="O44" s="1292"/>
      <c r="P44" s="291"/>
      <c r="Q44" s="289"/>
      <c r="R44" s="290"/>
      <c r="S44" s="1420" t="str">
        <f>INDEX(PT_DIFFERENTIATION_NUM_CS,MATCH(C44,PT_DIFFERENTIATION_CS_ID,0))</f>
        <v>..</v>
      </c>
      <c r="T44" s="246" t="s">
        <v>609</v>
      </c>
      <c r="U44" s="237"/>
      <c r="V44" s="2595"/>
      <c r="W44" s="2596"/>
      <c r="X44" s="2596"/>
      <c r="Y44" s="2596"/>
      <c r="Z44" s="2596"/>
      <c r="AA44" s="2596"/>
      <c r="AB44" s="2596"/>
      <c r="AC44" s="2596"/>
      <c r="AD44" s="2596"/>
      <c r="AE44" s="2596"/>
      <c r="AF44" s="2597"/>
      <c r="AG44" s="2595" t="str">
        <f>INDEX(PT_DIFFERENTIATION_CS,MATCH(C44,PT_DIFFERENTIATION_CS_ID,0))</f>
        <v/>
      </c>
      <c r="AH44" s="2596"/>
      <c r="AI44" s="2596"/>
      <c r="AJ44" s="2596"/>
      <c r="AK44" s="2596"/>
      <c r="AL44" s="2596"/>
      <c r="AM44" s="2596"/>
      <c r="AN44" s="2596"/>
      <c r="AO44" s="2596"/>
      <c r="AP44" s="2596"/>
      <c r="AQ44" s="2596"/>
      <c r="AR44" s="2597"/>
      <c r="AS44" s="1185" t="s">
        <v>610</v>
      </c>
      <c r="AU44" s="437"/>
      <c r="AV44" s="437" t="str">
        <f t="shared" si="1"/>
        <v>Наименование централизованной системы горячего водоснабжения</v>
      </c>
      <c r="AW44" s="437"/>
      <c r="AX44" s="437"/>
      <c r="AY44" s="1082">
        <v>23</v>
      </c>
    </row>
    <row r="45" spans="1:51" ht="24" customHeight="1">
      <c r="A45" s="1290" t="s">
        <v>331</v>
      </c>
      <c r="B45" s="1290" t="s">
        <v>332</v>
      </c>
      <c r="C45" s="1290" t="s">
        <v>333</v>
      </c>
      <c r="D45" s="1290" t="s">
        <v>621</v>
      </c>
      <c r="E45" s="2602"/>
      <c r="F45" s="2602"/>
      <c r="G45" s="2602"/>
      <c r="H45" s="2602"/>
      <c r="I45" s="2603" t="str">
        <f>S44&amp;".1"</f>
        <v>...1</v>
      </c>
      <c r="J45" s="1290"/>
      <c r="K45" s="1290"/>
      <c r="L45" s="1291"/>
      <c r="P45" s="2605">
        <v>1</v>
      </c>
      <c r="Q45" s="1408"/>
      <c r="R45" s="293"/>
      <c r="S45" s="1420" t="str">
        <f>$I45</f>
        <v>...1</v>
      </c>
      <c r="T45" s="222" t="s">
        <v>560</v>
      </c>
      <c r="U45" s="237"/>
      <c r="V45" s="2669"/>
      <c r="W45" s="2670"/>
      <c r="X45" s="2670"/>
      <c r="Y45" s="2670"/>
      <c r="Z45" s="2670"/>
      <c r="AA45" s="2670"/>
      <c r="AB45" s="2670"/>
      <c r="AC45" s="2670"/>
      <c r="AD45" s="2670"/>
      <c r="AE45" s="2670"/>
      <c r="AF45" s="2671"/>
      <c r="AG45" s="2672"/>
      <c r="AH45" s="2673"/>
      <c r="AI45" s="2673"/>
      <c r="AJ45" s="2673"/>
      <c r="AK45" s="2673"/>
      <c r="AL45" s="2673"/>
      <c r="AM45" s="2673"/>
      <c r="AN45" s="2673"/>
      <c r="AO45" s="2673"/>
      <c r="AP45" s="2673"/>
      <c r="AQ45" s="2673"/>
      <c r="AR45" s="2674"/>
      <c r="AS45" s="1185" t="s">
        <v>561</v>
      </c>
      <c r="AU45" s="437"/>
      <c r="AV45" s="437" t="str">
        <f t="shared" si="1"/>
        <v>Наименование признака дифференциации</v>
      </c>
      <c r="AW45" s="437"/>
      <c r="AX45" s="437"/>
      <c r="AY45" s="1082">
        <v>23</v>
      </c>
    </row>
    <row r="46" spans="1:51" ht="24" customHeight="1">
      <c r="A46" s="1290" t="s">
        <v>331</v>
      </c>
      <c r="B46" s="1290" t="s">
        <v>332</v>
      </c>
      <c r="C46" s="1290" t="s">
        <v>333</v>
      </c>
      <c r="D46" s="1290" t="s">
        <v>621</v>
      </c>
      <c r="E46" s="2602"/>
      <c r="F46" s="2602"/>
      <c r="G46" s="2602"/>
      <c r="H46" s="2602"/>
      <c r="I46" s="2604"/>
      <c r="J46" s="2603" t="str">
        <f>I45&amp;".1"</f>
        <v>...1.1</v>
      </c>
      <c r="K46" s="1290"/>
      <c r="L46" s="1291" t="s">
        <v>486</v>
      </c>
      <c r="P46" s="2605"/>
      <c r="Q46" s="2605">
        <v>1</v>
      </c>
      <c r="R46" s="294"/>
      <c r="S46" s="1420" t="str">
        <f>$J46</f>
        <v>...1.1</v>
      </c>
      <c r="T46" s="223" t="s">
        <v>487</v>
      </c>
      <c r="U46" s="237"/>
      <c r="V46" s="2589"/>
      <c r="W46" s="2590"/>
      <c r="X46" s="2590"/>
      <c r="Y46" s="2590"/>
      <c r="Z46" s="2590"/>
      <c r="AA46" s="2590"/>
      <c r="AB46" s="2590"/>
      <c r="AC46" s="2590"/>
      <c r="AD46" s="2590"/>
      <c r="AE46" s="2590"/>
      <c r="AF46" s="2591"/>
      <c r="AG46" s="2589"/>
      <c r="AH46" s="2590"/>
      <c r="AI46" s="2590"/>
      <c r="AJ46" s="2590"/>
      <c r="AK46" s="2590"/>
      <c r="AL46" s="2590"/>
      <c r="AM46" s="2590"/>
      <c r="AN46" s="2590"/>
      <c r="AO46" s="2590"/>
      <c r="AP46" s="2590"/>
      <c r="AQ46" s="2590"/>
      <c r="AR46" s="2591"/>
      <c r="AS46" s="1234" t="s">
        <v>562</v>
      </c>
      <c r="AU46" s="437"/>
      <c r="AV46" s="437" t="str">
        <f t="shared" si="1"/>
        <v>Группа потребителей</v>
      </c>
      <c r="AW46" s="437"/>
      <c r="AX46" s="437"/>
      <c r="AY46" s="1082">
        <v>23</v>
      </c>
    </row>
    <row r="47" spans="1:51" ht="24" customHeight="1">
      <c r="A47" s="1290" t="s">
        <v>331</v>
      </c>
      <c r="B47" s="1290" t="s">
        <v>332</v>
      </c>
      <c r="C47" s="1290" t="s">
        <v>333</v>
      </c>
      <c r="D47" s="1290" t="s">
        <v>621</v>
      </c>
      <c r="E47" s="2602"/>
      <c r="F47" s="2602"/>
      <c r="G47" s="2602"/>
      <c r="H47" s="2602"/>
      <c r="I47" s="2604"/>
      <c r="J47" s="2604"/>
      <c r="K47" s="2603" t="str">
        <f>J46&amp;".1"</f>
        <v>...1.1.1</v>
      </c>
      <c r="L47" s="1291"/>
      <c r="P47" s="2605"/>
      <c r="Q47" s="2605"/>
      <c r="R47" s="294">
        <v>1</v>
      </c>
      <c r="S47" s="1420" t="str">
        <f>$K47</f>
        <v>...1.1.1</v>
      </c>
      <c r="T47" s="1364"/>
      <c r="U47" s="237"/>
      <c r="V47" s="688"/>
      <c r="W47" s="688"/>
      <c r="X47" s="688"/>
      <c r="Y47" s="688"/>
      <c r="Z47" s="688"/>
      <c r="AA47" s="688"/>
      <c r="AB47" s="688"/>
      <c r="AC47" s="2599"/>
      <c r="AD47" s="2598" t="s">
        <v>66</v>
      </c>
      <c r="AE47" s="2599"/>
      <c r="AF47" s="2598" t="s">
        <v>66</v>
      </c>
      <c r="AG47" s="688"/>
      <c r="AH47" s="688"/>
      <c r="AI47" s="688"/>
      <c r="AJ47" s="688"/>
      <c r="AK47" s="688"/>
      <c r="AL47" s="688"/>
      <c r="AM47" s="688"/>
      <c r="AN47" s="2606"/>
      <c r="AO47" s="2471" t="s">
        <v>66</v>
      </c>
      <c r="AP47" s="2608"/>
      <c r="AQ47" s="2471" t="s">
        <v>19</v>
      </c>
      <c r="AR47" s="1365"/>
      <c r="AS4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331</v>
      </c>
      <c r="B48" s="1290" t="s">
        <v>332</v>
      </c>
      <c r="C48" s="1290" t="s">
        <v>333</v>
      </c>
      <c r="D48" s="1290" t="s">
        <v>621</v>
      </c>
      <c r="E48" s="2602"/>
      <c r="F48" s="2602"/>
      <c r="G48" s="2602"/>
      <c r="H48" s="2602"/>
      <c r="I48" s="2604"/>
      <c r="J48" s="2604"/>
      <c r="K48" s="2603"/>
      <c r="L48" s="1291"/>
      <c r="P48" s="2605"/>
      <c r="Q48" s="2605"/>
      <c r="R48" s="294"/>
      <c r="S48" s="1417"/>
      <c r="T48" s="237"/>
      <c r="U48" s="237"/>
      <c r="V48" s="1287"/>
      <c r="W48" s="1287"/>
      <c r="X48" s="1287"/>
      <c r="Y48" s="1287"/>
      <c r="Z48" s="1287"/>
      <c r="AA48" s="1287"/>
      <c r="AB48" s="1287"/>
      <c r="AC48" s="2598"/>
      <c r="AD48" s="2598"/>
      <c r="AE48" s="2598"/>
      <c r="AF48" s="2598"/>
      <c r="AG48" s="262"/>
      <c r="AH48" s="262"/>
      <c r="AI48" s="262"/>
      <c r="AJ48" s="262"/>
      <c r="AK48" s="262"/>
      <c r="AL48" s="262"/>
      <c r="AM48" s="262"/>
      <c r="AN48" s="2607"/>
      <c r="AO48" s="2471"/>
      <c r="AP48" s="2609"/>
      <c r="AQ48" s="2471"/>
      <c r="AR48" s="1366"/>
      <c r="AS48" s="2675"/>
      <c r="AU48" s="437"/>
      <c r="AV48" s="437" t="str">
        <f t="shared" si="1"/>
        <v/>
      </c>
      <c r="AW48" s="437"/>
      <c r="AX48" s="437"/>
      <c r="AY48" s="1082">
        <v>0</v>
      </c>
    </row>
    <row r="49" spans="1:51" ht="21" customHeight="1">
      <c r="A49" s="1290" t="s">
        <v>331</v>
      </c>
      <c r="B49" s="1290" t="s">
        <v>332</v>
      </c>
      <c r="C49" s="1290" t="s">
        <v>333</v>
      </c>
      <c r="D49" s="1290" t="s">
        <v>621</v>
      </c>
      <c r="E49" s="2602"/>
      <c r="F49" s="2602"/>
      <c r="G49" s="2602"/>
      <c r="H49" s="2602"/>
      <c r="I49" s="2604"/>
      <c r="J49" s="2603"/>
      <c r="K49" s="1290"/>
      <c r="L49" s="1291"/>
      <c r="P49" s="2605"/>
      <c r="Q49" s="2605"/>
      <c r="R49" s="293"/>
      <c r="S49" s="1205"/>
      <c r="T49" s="224" t="s">
        <v>563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564</v>
      </c>
      <c r="AU49" s="437"/>
      <c r="AV49" s="437" t="str">
        <f t="shared" si="1"/>
        <v>Добавить значение признака дифференциации</v>
      </c>
      <c r="AW49" s="437"/>
      <c r="AX49" s="437"/>
      <c r="AY49" s="1082">
        <v>20</v>
      </c>
    </row>
    <row r="50" spans="1:51" ht="21.95" customHeight="1">
      <c r="A50" s="1290" t="s">
        <v>331</v>
      </c>
      <c r="B50" s="1290" t="s">
        <v>332</v>
      </c>
      <c r="C50" s="1290" t="s">
        <v>333</v>
      </c>
      <c r="D50" s="1290" t="s">
        <v>621</v>
      </c>
      <c r="E50" s="2602"/>
      <c r="F50" s="2602"/>
      <c r="G50" s="2602"/>
      <c r="H50" s="2602"/>
      <c r="I50" s="2603"/>
      <c r="J50" s="1290"/>
      <c r="K50" s="1290"/>
      <c r="L50" s="1291"/>
      <c r="P50" s="2605"/>
      <c r="Q50" s="1408"/>
      <c r="R50" s="293"/>
      <c r="S50" s="1205"/>
      <c r="T50" s="302" t="s">
        <v>492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331</v>
      </c>
      <c r="B51" s="1290" t="s">
        <v>332</v>
      </c>
      <c r="C51" s="1290" t="s">
        <v>333</v>
      </c>
      <c r="D51" s="1290" t="s">
        <v>621</v>
      </c>
      <c r="E51" s="2602"/>
      <c r="F51" s="2602"/>
      <c r="G51" s="2602"/>
      <c r="H51" s="2601"/>
      <c r="I51" s="1290"/>
      <c r="J51" s="1290"/>
      <c r="K51" s="1290"/>
      <c r="L51" s="1291"/>
      <c r="M51" s="1292"/>
      <c r="N51" s="1292"/>
      <c r="O51" s="474"/>
      <c r="P51" s="297"/>
      <c r="Q51" s="312"/>
      <c r="R51" s="292"/>
      <c r="S51" s="1205"/>
      <c r="T51" s="309" t="s">
        <v>565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331</v>
      </c>
      <c r="B52" s="1270" t="s">
        <v>332</v>
      </c>
      <c r="C52" s="1241"/>
      <c r="D52" s="1241"/>
      <c r="E52" s="2602"/>
      <c r="F52" s="2601"/>
      <c r="G52" s="1241"/>
      <c r="H52" s="1241"/>
      <c r="I52" s="1241"/>
      <c r="J52" s="1241"/>
      <c r="K52" s="1241"/>
      <c r="L52" s="1421"/>
      <c r="M52" s="1248"/>
      <c r="N52" s="1248"/>
      <c r="P52" s="1243"/>
      <c r="Q52" s="1244"/>
      <c r="R52" s="1243"/>
      <c r="S52" s="1249"/>
      <c r="T52" s="1252" t="s">
        <v>295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331</v>
      </c>
      <c r="B53" s="1270"/>
      <c r="C53" s="1270"/>
      <c r="D53" s="1270"/>
      <c r="E53" s="2601"/>
      <c r="F53" s="1270"/>
      <c r="G53" s="1270"/>
      <c r="H53" s="1270"/>
      <c r="I53" s="1270"/>
      <c r="J53" s="1270"/>
      <c r="K53" s="1270"/>
      <c r="L53" s="1273"/>
      <c r="M53" s="1248"/>
      <c r="N53" s="1248"/>
      <c r="O53" s="455"/>
      <c r="P53" s="317"/>
      <c r="Q53" s="1271"/>
      <c r="R53" s="317"/>
      <c r="S53" s="1249"/>
      <c r="T53" s="1252" t="s">
        <v>299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300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c r="AS56" s="2600"/>
      <c r="AY56" s="1082">
        <v>14</v>
      </c>
    </row>
    <row r="57" spans="1:51" ht="14.65" customHeight="1">
      <c r="O57" s="474"/>
      <c r="AY57" s="1082">
        <v>14</v>
      </c>
    </row>
    <row r="58" spans="1:51" ht="14.65" customHeight="1">
      <c r="O58" s="474"/>
      <c r="S58" s="1180"/>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c r="AS58" s="2600"/>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601">
        <v>1</v>
      </c>
      <c r="F2" s="1290"/>
      <c r="G2" s="1290"/>
      <c r="H2" s="1290"/>
      <c r="I2" s="1290"/>
      <c r="J2" s="1290"/>
      <c r="K2" s="1290"/>
      <c r="L2" s="1291"/>
      <c r="M2" s="1292"/>
      <c r="N2" s="1292"/>
      <c r="O2" s="1292"/>
      <c r="P2" s="298"/>
      <c r="Q2" s="297"/>
      <c r="R2" s="292"/>
      <c r="S2" s="1420" t="e">
        <f>INDEX(PT_DIFFERENTIATION_NUM_NTAR,MATCH(A2,PT_DIFFERENTIATION_NTAR_ID,0))</f>
        <v>#N/A</v>
      </c>
      <c r="T2" s="235" t="s">
        <v>189</v>
      </c>
      <c r="U2" s="237"/>
      <c r="V2" s="2595"/>
      <c r="W2" s="2596"/>
      <c r="X2" s="2596"/>
      <c r="Y2" s="2596"/>
      <c r="Z2" s="2596"/>
      <c r="AA2" s="2596"/>
      <c r="AB2" s="2596"/>
      <c r="AC2" s="2596"/>
      <c r="AD2" s="2596"/>
      <c r="AE2" s="2596"/>
      <c r="AF2" s="2597"/>
      <c r="AG2" s="2595" t="e">
        <f>INDEX(PT_DIFFERENTIATION_NTAR,MATCH(A2,PT_DIFFERENTIATION_NTAR_ID,0))</f>
        <v>#N/A</v>
      </c>
      <c r="AH2" s="2596"/>
      <c r="AI2" s="2596"/>
      <c r="AJ2" s="2596"/>
      <c r="AK2" s="2596"/>
      <c r="AL2" s="2596"/>
      <c r="AM2" s="2596"/>
      <c r="AN2" s="2596"/>
      <c r="AO2" s="2596"/>
      <c r="AP2" s="2596"/>
      <c r="AQ2" s="2596"/>
      <c r="AR2" s="259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602"/>
      <c r="F3" s="2601">
        <v>1</v>
      </c>
      <c r="G3" s="1290"/>
      <c r="H3" s="1290"/>
      <c r="I3" s="1290"/>
      <c r="J3" s="1290"/>
      <c r="K3" s="1290"/>
      <c r="L3" s="1291"/>
      <c r="M3" s="1292"/>
      <c r="N3" s="1292"/>
      <c r="O3" s="1292"/>
      <c r="P3" s="1414"/>
      <c r="Q3" s="289"/>
      <c r="R3" s="290"/>
      <c r="S3" s="1420" t="e">
        <f>INDEX(PT_DIFFERENTIATION_NUM_TER,MATCH(B3,PT_DIFFERENTIATION_TER_ID,0))</f>
        <v>#N/A</v>
      </c>
      <c r="T3" s="245" t="s">
        <v>477</v>
      </c>
      <c r="U3" s="237"/>
      <c r="V3" s="2595"/>
      <c r="W3" s="2596"/>
      <c r="X3" s="2596"/>
      <c r="Y3" s="2596"/>
      <c r="Z3" s="2596"/>
      <c r="AA3" s="2596"/>
      <c r="AB3" s="2596"/>
      <c r="AC3" s="2596"/>
      <c r="AD3" s="2596"/>
      <c r="AE3" s="2596"/>
      <c r="AF3" s="2597"/>
      <c r="AG3" s="2595" t="e">
        <f>INDEX(PT_DIFFERENTIATION_TER,MATCH(B3,PT_DIFFERENTIATION_TER_ID,0))</f>
        <v>#N/A</v>
      </c>
      <c r="AH3" s="2596"/>
      <c r="AI3" s="2596"/>
      <c r="AJ3" s="2596"/>
      <c r="AK3" s="2596"/>
      <c r="AL3" s="2596"/>
      <c r="AM3" s="2596"/>
      <c r="AN3" s="2596"/>
      <c r="AO3" s="2596"/>
      <c r="AP3" s="2596"/>
      <c r="AQ3" s="2596"/>
      <c r="AR3" s="2597"/>
      <c r="AS3" s="1185" t="s">
        <v>478</v>
      </c>
      <c r="AU3" s="437"/>
      <c r="AV3" s="437" t="str">
        <f t="shared" si="0"/>
        <v>Территория действия тарифа</v>
      </c>
      <c r="AW3" s="437"/>
      <c r="AX3" s="437"/>
      <c r="AY3" s="1082">
        <v>0</v>
      </c>
    </row>
    <row r="4" spans="1:51" ht="23.25" hidden="1" customHeight="1">
      <c r="A4" s="1290"/>
      <c r="B4" s="1290"/>
      <c r="C4" s="1290"/>
      <c r="D4" s="1290"/>
      <c r="E4" s="2602"/>
      <c r="F4" s="2602"/>
      <c r="G4" s="2601">
        <v>1</v>
      </c>
      <c r="H4" s="1290"/>
      <c r="I4" s="1290"/>
      <c r="J4" s="1290"/>
      <c r="K4" s="1290"/>
      <c r="L4" s="1291"/>
      <c r="M4" s="1292"/>
      <c r="N4" s="1292"/>
      <c r="O4" s="1292"/>
      <c r="P4" s="291"/>
      <c r="Q4" s="289"/>
      <c r="R4" s="290"/>
      <c r="S4" s="1420" t="e">
        <f>INDEX(PT_DIFFERENTIATION_NUM_CS,MATCH(C4,PT_DIFFERENTIATION_CS_ID,0))</f>
        <v>#N/A</v>
      </c>
      <c r="T4" s="246" t="s">
        <v>609</v>
      </c>
      <c r="U4" s="237"/>
      <c r="V4" s="2595"/>
      <c r="W4" s="2596"/>
      <c r="X4" s="2596"/>
      <c r="Y4" s="2596"/>
      <c r="Z4" s="2596"/>
      <c r="AA4" s="2596"/>
      <c r="AB4" s="2596"/>
      <c r="AC4" s="2596"/>
      <c r="AD4" s="2596"/>
      <c r="AE4" s="2596"/>
      <c r="AF4" s="2597"/>
      <c r="AG4" s="2595" t="e">
        <f>INDEX(PT_DIFFERENTIATION_CS,MATCH(C4,PT_DIFFERENTIATION_CS_ID,0))</f>
        <v>#N/A</v>
      </c>
      <c r="AH4" s="2596"/>
      <c r="AI4" s="2596"/>
      <c r="AJ4" s="2596"/>
      <c r="AK4" s="2596"/>
      <c r="AL4" s="2596"/>
      <c r="AM4" s="2596"/>
      <c r="AN4" s="2596"/>
      <c r="AO4" s="2596"/>
      <c r="AP4" s="2596"/>
      <c r="AQ4" s="2596"/>
      <c r="AR4" s="2597"/>
      <c r="AS4" s="1185" t="s">
        <v>610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602"/>
      <c r="F5" s="2602"/>
      <c r="G5" s="2602"/>
      <c r="H5" s="2602"/>
      <c r="I5" s="2603" t="e">
        <f>S4&amp;".1"</f>
        <v>#N/A</v>
      </c>
      <c r="J5" s="1290"/>
      <c r="K5" s="1290"/>
      <c r="L5" s="1291"/>
      <c r="P5" s="2605">
        <v>1</v>
      </c>
      <c r="Q5" s="1408"/>
      <c r="R5" s="293"/>
      <c r="S5" s="1420" t="e">
        <f>$I5</f>
        <v>#N/A</v>
      </c>
      <c r="T5" s="222" t="s">
        <v>560</v>
      </c>
      <c r="U5" s="237"/>
      <c r="V5" s="2669"/>
      <c r="W5" s="2670"/>
      <c r="X5" s="2670"/>
      <c r="Y5" s="2670"/>
      <c r="Z5" s="2670"/>
      <c r="AA5" s="2670"/>
      <c r="AB5" s="2670"/>
      <c r="AC5" s="2670"/>
      <c r="AD5" s="2670"/>
      <c r="AE5" s="2670"/>
      <c r="AF5" s="2671"/>
      <c r="AG5" s="2672"/>
      <c r="AH5" s="2673"/>
      <c r="AI5" s="2673"/>
      <c r="AJ5" s="2673"/>
      <c r="AK5" s="2673"/>
      <c r="AL5" s="2673"/>
      <c r="AM5" s="2673"/>
      <c r="AN5" s="2673"/>
      <c r="AO5" s="2673"/>
      <c r="AP5" s="2673"/>
      <c r="AQ5" s="2673"/>
      <c r="AR5" s="2674"/>
      <c r="AS5" s="1185" t="s">
        <v>561</v>
      </c>
      <c r="AU5" s="437"/>
      <c r="AV5" s="437" t="str">
        <f t="shared" si="0"/>
        <v>Наименование признака дифференциации</v>
      </c>
      <c r="AW5" s="437"/>
      <c r="AX5" s="437"/>
      <c r="AY5" s="1082">
        <v>0</v>
      </c>
    </row>
    <row r="6" spans="1:51" ht="23.25" hidden="1" customHeight="1">
      <c r="A6" s="1290"/>
      <c r="B6" s="1290"/>
      <c r="C6" s="1290"/>
      <c r="D6" s="1290"/>
      <c r="E6" s="2602"/>
      <c r="F6" s="2602"/>
      <c r="G6" s="2602"/>
      <c r="H6" s="2602"/>
      <c r="I6" s="2604"/>
      <c r="J6" s="2603" t="e">
        <f>I5&amp;".1"</f>
        <v>#N/A</v>
      </c>
      <c r="K6" s="1290"/>
      <c r="L6" s="1291" t="s">
        <v>486</v>
      </c>
      <c r="P6" s="2605"/>
      <c r="Q6" s="2605">
        <v>1</v>
      </c>
      <c r="R6" s="294"/>
      <c r="S6" s="1420" t="e">
        <f>$J6</f>
        <v>#N/A</v>
      </c>
      <c r="T6" s="223" t="s">
        <v>487</v>
      </c>
      <c r="U6" s="237"/>
      <c r="V6" s="2589"/>
      <c r="W6" s="2590"/>
      <c r="X6" s="2590"/>
      <c r="Y6" s="2590"/>
      <c r="Z6" s="2590"/>
      <c r="AA6" s="2590"/>
      <c r="AB6" s="2590"/>
      <c r="AC6" s="2590"/>
      <c r="AD6" s="2590"/>
      <c r="AE6" s="2590"/>
      <c r="AF6" s="2591"/>
      <c r="AG6" s="2589"/>
      <c r="AH6" s="2590"/>
      <c r="AI6" s="2590"/>
      <c r="AJ6" s="2590"/>
      <c r="AK6" s="2590"/>
      <c r="AL6" s="2590"/>
      <c r="AM6" s="2590"/>
      <c r="AN6" s="2590"/>
      <c r="AO6" s="2590"/>
      <c r="AP6" s="2590"/>
      <c r="AQ6" s="2590"/>
      <c r="AR6" s="2591"/>
      <c r="AS6" s="1234" t="s">
        <v>562</v>
      </c>
      <c r="AU6" s="437"/>
      <c r="AV6" s="437" t="str">
        <f t="shared" si="0"/>
        <v>Группа потребителей</v>
      </c>
      <c r="AW6" s="437"/>
      <c r="AX6" s="437"/>
      <c r="AY6" s="1082">
        <v>0</v>
      </c>
    </row>
    <row r="7" spans="1:51" ht="23.25" hidden="1" customHeight="1">
      <c r="A7" s="1290"/>
      <c r="B7" s="1290"/>
      <c r="C7" s="1290"/>
      <c r="D7" s="1290"/>
      <c r="E7" s="2602"/>
      <c r="F7" s="2602"/>
      <c r="G7" s="2602"/>
      <c r="H7" s="2602"/>
      <c r="I7" s="2604"/>
      <c r="J7" s="2604"/>
      <c r="K7" s="2603" t="e">
        <f>J6&amp;".1"</f>
        <v>#N/A</v>
      </c>
      <c r="L7" s="1291"/>
      <c r="P7" s="2605"/>
      <c r="Q7" s="2605"/>
      <c r="R7" s="294">
        <v>1</v>
      </c>
      <c r="S7" s="1420" t="e">
        <f>$K7</f>
        <v>#N/A</v>
      </c>
      <c r="T7" s="1364"/>
      <c r="U7" s="237"/>
      <c r="V7" s="688"/>
      <c r="W7" s="688"/>
      <c r="X7" s="688"/>
      <c r="Y7" s="688"/>
      <c r="Z7" s="688"/>
      <c r="AA7" s="688"/>
      <c r="AB7" s="1184"/>
      <c r="AC7" s="2606"/>
      <c r="AD7" s="2471" t="s">
        <v>66</v>
      </c>
      <c r="AE7" s="2606"/>
      <c r="AF7" s="2471" t="s">
        <v>66</v>
      </c>
      <c r="AG7" s="688"/>
      <c r="AH7" s="688"/>
      <c r="AI7" s="688"/>
      <c r="AJ7" s="688"/>
      <c r="AK7" s="688"/>
      <c r="AL7" s="688"/>
      <c r="AM7" s="1184"/>
      <c r="AN7" s="2606"/>
      <c r="AO7" s="2471" t="s">
        <v>66</v>
      </c>
      <c r="AP7" s="2608"/>
      <c r="AQ7" s="2471" t="s">
        <v>66</v>
      </c>
      <c r="AR7" s="1365"/>
      <c r="AS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602"/>
      <c r="F8" s="2602"/>
      <c r="G8" s="2602"/>
      <c r="H8" s="2602"/>
      <c r="I8" s="2604"/>
      <c r="J8" s="2604"/>
      <c r="K8" s="2603"/>
      <c r="L8" s="1291"/>
      <c r="P8" s="2605"/>
      <c r="Q8" s="2605"/>
      <c r="R8" s="294"/>
      <c r="S8" s="1417"/>
      <c r="T8" s="237"/>
      <c r="U8" s="237"/>
      <c r="V8" s="262"/>
      <c r="W8" s="262"/>
      <c r="X8" s="262"/>
      <c r="Y8" s="262"/>
      <c r="Z8" s="262"/>
      <c r="AA8" s="262"/>
      <c r="AB8" s="265" t="str">
        <f>AC7&amp;"-"&amp;AE7</f>
        <v>-</v>
      </c>
      <c r="AC8" s="2607"/>
      <c r="AD8" s="2471"/>
      <c r="AE8" s="2607"/>
      <c r="AF8" s="2471"/>
      <c r="AG8" s="262"/>
      <c r="AH8" s="262"/>
      <c r="AI8" s="262"/>
      <c r="AJ8" s="262"/>
      <c r="AK8" s="262"/>
      <c r="AL8" s="262"/>
      <c r="AM8" s="265" t="str">
        <f>AN7&amp;"-"&amp;AP7</f>
        <v>-</v>
      </c>
      <c r="AN8" s="2607"/>
      <c r="AO8" s="2471"/>
      <c r="AP8" s="2609"/>
      <c r="AQ8" s="2471"/>
      <c r="AR8" s="1366"/>
      <c r="AS8" s="2675"/>
      <c r="AU8" s="437"/>
      <c r="AV8" s="437" t="str">
        <f t="shared" si="0"/>
        <v/>
      </c>
      <c r="AW8" s="437"/>
      <c r="AX8" s="437"/>
      <c r="AY8" s="1082">
        <v>0</v>
      </c>
    </row>
    <row r="9" spans="1:51" ht="21" hidden="1" customHeight="1">
      <c r="A9" s="1290"/>
      <c r="B9" s="1290"/>
      <c r="C9" s="1290"/>
      <c r="D9" s="1290"/>
      <c r="E9" s="2602"/>
      <c r="F9" s="2602"/>
      <c r="G9" s="2602"/>
      <c r="H9" s="2602"/>
      <c r="I9" s="2604"/>
      <c r="J9" s="2603"/>
      <c r="K9" s="1290"/>
      <c r="L9" s="1291"/>
      <c r="P9" s="2605"/>
      <c r="Q9" s="2605"/>
      <c r="R9" s="293"/>
      <c r="S9" s="1205"/>
      <c r="T9" s="224" t="s">
        <v>563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564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602"/>
      <c r="F10" s="2602"/>
      <c r="G10" s="2602"/>
      <c r="H10" s="2602"/>
      <c r="I10" s="2603"/>
      <c r="J10" s="1290"/>
      <c r="K10" s="1290"/>
      <c r="L10" s="1291"/>
      <c r="P10" s="2605"/>
      <c r="Q10" s="1408"/>
      <c r="R10" s="293"/>
      <c r="S10" s="1205"/>
      <c r="T10" s="302" t="s">
        <v>492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602"/>
      <c r="F11" s="2602"/>
      <c r="G11" s="2602"/>
      <c r="H11" s="2601"/>
      <c r="I11" s="1290"/>
      <c r="J11" s="1290"/>
      <c r="K11" s="1290"/>
      <c r="L11" s="1291"/>
      <c r="M11" s="1292"/>
      <c r="N11" s="1292"/>
      <c r="O11" s="474"/>
      <c r="P11" s="297"/>
      <c r="Q11" s="312"/>
      <c r="R11" s="292"/>
      <c r="S11" s="1205"/>
      <c r="T11" s="309" t="s">
        <v>565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602"/>
      <c r="F12" s="2601"/>
      <c r="G12" s="1241"/>
      <c r="H12" s="1241"/>
      <c r="I12" s="1241"/>
      <c r="J12" s="1241"/>
      <c r="K12" s="1241"/>
      <c r="L12" s="1421"/>
      <c r="M12" s="1248"/>
      <c r="N12" s="1248"/>
      <c r="P12" s="1243"/>
      <c r="Q12" s="1244"/>
      <c r="R12" s="1243"/>
      <c r="S12" s="1249"/>
      <c r="T12" s="1252" t="s">
        <v>295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601"/>
      <c r="F13" s="1270"/>
      <c r="G13" s="1270"/>
      <c r="H13" s="1270"/>
      <c r="I13" s="1270"/>
      <c r="J13" s="1270"/>
      <c r="K13" s="1270"/>
      <c r="L13" s="1273"/>
      <c r="M13" s="1248"/>
      <c r="N13" s="1248"/>
      <c r="O13" s="455"/>
      <c r="P13" s="317"/>
      <c r="Q13" s="1271"/>
      <c r="R13" s="317"/>
      <c r="S13" s="1249"/>
      <c r="T13" s="1252" t="s">
        <v>299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599"/>
      <c r="AO15" s="2598" t="s">
        <v>66</v>
      </c>
      <c r="AP15" s="2599"/>
      <c r="AQ15" s="2598" t="s">
        <v>66</v>
      </c>
      <c r="AY15" s="1082">
        <v>0</v>
      </c>
    </row>
    <row r="16" spans="1:51" ht="14.25" hidden="1" customHeight="1">
      <c r="AG16" s="1287"/>
      <c r="AH16" s="1287"/>
      <c r="AI16" s="1287"/>
      <c r="AJ16" s="1287"/>
      <c r="AK16" s="1287"/>
      <c r="AL16" s="1287"/>
      <c r="AM16" s="265" t="str">
        <f>AN15&amp;"-"&amp;AP15</f>
        <v>-</v>
      </c>
      <c r="AN16" s="2598"/>
      <c r="AO16" s="2598"/>
      <c r="AP16" s="2598"/>
      <c r="AQ16" s="2598"/>
      <c r="AY16" s="1082">
        <v>0</v>
      </c>
    </row>
    <row r="17" spans="1:51" ht="14.25" hidden="1" customHeight="1">
      <c r="AQ17" s="264"/>
      <c r="AY17" s="1082">
        <v>0</v>
      </c>
    </row>
    <row r="18" spans="1:51" s="1293" customFormat="1" ht="22.5" hidden="1" customHeight="1">
      <c r="L18" s="1405"/>
      <c r="M18" s="1289"/>
      <c r="N18" s="1289"/>
      <c r="O18" s="1294" t="s">
        <v>495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496</v>
      </c>
      <c r="P20" s="1289"/>
      <c r="Q20" s="1369"/>
      <c r="R20" s="1369"/>
      <c r="S20" s="666"/>
      <c r="T20" s="1087" t="s">
        <v>497</v>
      </c>
      <c r="AD20" s="123" t="s">
        <v>498</v>
      </c>
      <c r="AF20" s="123" t="s">
        <v>499</v>
      </c>
      <c r="AG20" s="1087" t="s">
        <v>497</v>
      </c>
      <c r="AO20" s="123" t="s">
        <v>500</v>
      </c>
      <c r="AQ20" s="123" t="s">
        <v>499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58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82"/>
      <c r="U24" s="2582"/>
      <c r="V24" s="2582"/>
      <c r="W24" s="2582"/>
      <c r="X24" s="2582"/>
      <c r="Y24" s="2582"/>
      <c r="Z24" s="2582"/>
      <c r="AA24" s="2582"/>
      <c r="AB24" s="2582"/>
      <c r="AC24" s="2582"/>
      <c r="AD24" s="2582"/>
      <c r="AE24" s="2582"/>
      <c r="AF24" s="2582"/>
      <c r="AG24" s="2582"/>
      <c r="AH24" s="2582"/>
      <c r="AI24" s="2582"/>
      <c r="AJ24" s="2582"/>
      <c r="AK24" s="2582"/>
      <c r="AL24" s="2582"/>
      <c r="AM24" s="2582"/>
      <c r="AN24" s="2582"/>
      <c r="AO24" s="2582"/>
      <c r="AP24" s="2582"/>
      <c r="AQ24" s="1170"/>
      <c r="AY24" s="1082">
        <v>25</v>
      </c>
    </row>
    <row r="25" spans="1:51" ht="14.65" customHeight="1">
      <c r="Q25" s="313"/>
      <c r="R25" s="313"/>
      <c r="S2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592" t="s">
        <v>42</v>
      </c>
      <c r="T27" s="2592"/>
      <c r="U27" s="1299"/>
      <c r="V27" s="2594" t="str">
        <f>IF(TITLE_NAME_OR_PR_CHANGE="",IF(TITLE_NAME_OR_PR="","",TITLE_NAME_OR_PR),TITLE_NAME_OR_PR_CHANGE)</f>
        <v>Региональная служба по тарифам Ростовской области</v>
      </c>
      <c r="W27" s="2594"/>
      <c r="X27" s="2594"/>
      <c r="Y27" s="2594"/>
      <c r="Z27" s="2594"/>
      <c r="AA27" s="2594"/>
      <c r="AB27" s="2594"/>
      <c r="AC27" s="2594"/>
      <c r="AD27" s="2594"/>
      <c r="AE27" s="2594"/>
      <c r="AF27" s="263"/>
      <c r="AG27" s="2594" t="str">
        <f>IF(TITLE_NAME_OR_PR_CHANGE="",IF(TITLE_NAME_OR_PR="","",TITLE_NAME_OR_PR),TITLE_NAME_OR_PR_CHANGE)</f>
        <v>Региональная служба по тарифам Ростовской области</v>
      </c>
      <c r="AH27" s="2594"/>
      <c r="AI27" s="2594"/>
      <c r="AJ27" s="2594"/>
      <c r="AK27" s="2594"/>
      <c r="AL27" s="2594"/>
      <c r="AM27" s="2594"/>
      <c r="AN27" s="2594"/>
      <c r="AO27" s="2594"/>
      <c r="AP27" s="2594"/>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592" t="s">
        <v>501</v>
      </c>
      <c r="T28" s="2592"/>
      <c r="U28" s="1299"/>
      <c r="V28" s="2593">
        <f>IF(TITLE_DATE_PR_CHANGE="",IF(TITLE_DATE_PR="","",TITLE_DATE_PR),TITLE_DATE_PR_CHANGE)</f>
        <v>45596.468541666669</v>
      </c>
      <c r="W28" s="2593"/>
      <c r="X28" s="2593"/>
      <c r="Y28" s="2593"/>
      <c r="Z28" s="2593"/>
      <c r="AA28" s="2593"/>
      <c r="AB28" s="2593"/>
      <c r="AC28" s="2593"/>
      <c r="AD28" s="2593"/>
      <c r="AE28" s="2593"/>
      <c r="AF28" s="263"/>
      <c r="AG28" s="2593">
        <f>IF(TITLE_DATE_PR_CHANGE="",IF(TITLE_DATE_PR="","",TITLE_DATE_PR),TITLE_DATE_PR_CHANGE)</f>
        <v>45596.468541666669</v>
      </c>
      <c r="AH28" s="2593"/>
      <c r="AI28" s="2593"/>
      <c r="AJ28" s="2593"/>
      <c r="AK28" s="2593"/>
      <c r="AL28" s="2593"/>
      <c r="AM28" s="2593"/>
      <c r="AN28" s="2593"/>
      <c r="AO28" s="2593"/>
      <c r="AP28" s="2593"/>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592" t="s">
        <v>502</v>
      </c>
      <c r="T29" s="2592"/>
      <c r="U29" s="1299"/>
      <c r="V29" s="2594" t="str">
        <f>IF(TITLE_NUMBER_PR_CHANGE="",IF(TITLE_NUMBER_PR="","",TITLE_NUMBER_PR),TITLE_NUMBER_PR_CHANGE)</f>
        <v>440,503</v>
      </c>
      <c r="W29" s="2594"/>
      <c r="X29" s="2594"/>
      <c r="Y29" s="2594"/>
      <c r="Z29" s="2594"/>
      <c r="AA29" s="2594"/>
      <c r="AB29" s="2594"/>
      <c r="AC29" s="2594"/>
      <c r="AD29" s="2594"/>
      <c r="AE29" s="2594"/>
      <c r="AF29" s="263"/>
      <c r="AG29" s="2594" t="str">
        <f>IF(TITLE_NUMBER_PR_CHANGE="",IF(TITLE_NUMBER_PR="","",TITLE_NUMBER_PR),TITLE_NUMBER_PR_CHANGE)</f>
        <v>440,503</v>
      </c>
      <c r="AH29" s="2594"/>
      <c r="AI29" s="2594"/>
      <c r="AJ29" s="2594"/>
      <c r="AK29" s="2594"/>
      <c r="AL29" s="2594"/>
      <c r="AM29" s="2594"/>
      <c r="AN29" s="2594"/>
      <c r="AO29" s="2594"/>
      <c r="AP29" s="2594"/>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592" t="s">
        <v>44</v>
      </c>
      <c r="T30" s="2592"/>
      <c r="U30" s="1299"/>
      <c r="V30" s="2594" t="str">
        <f>IF(TITLE_IST_PUB_CHANGE="",IF(TITLE_IST_PUB="","",TITLE_IST_PUB),TITLE_IST_PUB_CHANGE)</f>
        <v>Региональная служба по тарифам Ростовской области</v>
      </c>
      <c r="W30" s="2594"/>
      <c r="X30" s="2594"/>
      <c r="Y30" s="2594"/>
      <c r="Z30" s="2594"/>
      <c r="AA30" s="2594"/>
      <c r="AB30" s="2594"/>
      <c r="AC30" s="2594"/>
      <c r="AD30" s="2594"/>
      <c r="AE30" s="2594"/>
      <c r="AF30" s="263"/>
      <c r="AG30" s="2594" t="str">
        <f>IF(TITLE_IST_PUB_CHANGE="",IF(TITLE_IST_PUB="","",TITLE_IST_PUB),TITLE_IST_PUB_CHANGE)</f>
        <v>Региональная служба по тарифам Ростовской области</v>
      </c>
      <c r="AH30" s="2594"/>
      <c r="AI30" s="2594"/>
      <c r="AJ30" s="2594"/>
      <c r="AK30" s="2594"/>
      <c r="AL30" s="2594"/>
      <c r="AM30" s="2594"/>
      <c r="AN30" s="2594"/>
      <c r="AO30" s="2594"/>
      <c r="AP30" s="259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592" t="s">
        <v>503</v>
      </c>
      <c r="T32" s="2592"/>
      <c r="U32" s="1299"/>
      <c r="V32" s="2593">
        <f>IF(TITLE_DATE_PR_CHANGE="",IF(TITLE_DATE_PR="","",TITLE_DATE_PR),TITLE_DATE_PR_CHANGE)</f>
        <v>45596.468541666669</v>
      </c>
      <c r="W32" s="2593"/>
      <c r="X32" s="2593"/>
      <c r="Y32" s="2593"/>
      <c r="Z32" s="2593"/>
      <c r="AA32" s="2593"/>
      <c r="AB32" s="2593"/>
      <c r="AC32" s="2593"/>
      <c r="AD32" s="2593"/>
      <c r="AE32" s="2593"/>
      <c r="AF32" s="263"/>
      <c r="AG32" s="2593">
        <f>IF(TITLE_DATE_PR_CHANGE="",IF(TITLE_DATE_PR="","",TITLE_DATE_PR),TITLE_DATE_PR_CHANGE)</f>
        <v>45596.468541666669</v>
      </c>
      <c r="AH32" s="2593"/>
      <c r="AI32" s="2593"/>
      <c r="AJ32" s="2593"/>
      <c r="AK32" s="2593"/>
      <c r="AL32" s="2593"/>
      <c r="AM32" s="2593"/>
      <c r="AN32" s="2593"/>
      <c r="AO32" s="2593"/>
      <c r="AP32" s="259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592" t="s">
        <v>504</v>
      </c>
      <c r="T33" s="2592"/>
      <c r="U33" s="1299"/>
      <c r="V33" s="2594" t="str">
        <f>IF(TITLE_NUMBER_PR_CHANGE="",IF(TITLE_NUMBER_PR="","",TITLE_NUMBER_PR),TITLE_NUMBER_PR_CHANGE)</f>
        <v>440,503</v>
      </c>
      <c r="W33" s="2594"/>
      <c r="X33" s="2594"/>
      <c r="Y33" s="2594"/>
      <c r="Z33" s="2594"/>
      <c r="AA33" s="2594"/>
      <c r="AB33" s="2594"/>
      <c r="AC33" s="2594"/>
      <c r="AD33" s="2594"/>
      <c r="AE33" s="2594"/>
      <c r="AF33" s="263"/>
      <c r="AG33" s="2594" t="str">
        <f>IF(TITLE_NUMBER_PR_CHANGE="",IF(TITLE_NUMBER_PR="","",TITLE_NUMBER_PR),TITLE_NUMBER_PR_CHANGE)</f>
        <v>440,503</v>
      </c>
      <c r="AH33" s="2594"/>
      <c r="AI33" s="2594"/>
      <c r="AJ33" s="2594"/>
      <c r="AK33" s="2594"/>
      <c r="AL33" s="2594"/>
      <c r="AM33" s="2594"/>
      <c r="AN33" s="2594"/>
      <c r="AO33" s="2594"/>
      <c r="AP33" s="259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505</v>
      </c>
      <c r="AG34" s="263"/>
      <c r="AH34" s="1562"/>
      <c r="AI34" s="1562"/>
      <c r="AJ34" s="1562"/>
      <c r="AK34" s="1562"/>
      <c r="AL34" s="1562"/>
      <c r="AM34" s="263"/>
      <c r="AN34" s="263"/>
      <c r="AO34" s="263"/>
      <c r="AP34" s="263"/>
      <c r="AQ34" s="215" t="s">
        <v>505</v>
      </c>
      <c r="AT34" s="305"/>
      <c r="AU34" s="305"/>
      <c r="AV34" s="305"/>
      <c r="AW34" s="305"/>
      <c r="AX34" s="305"/>
      <c r="AY34" s="355">
        <v>1</v>
      </c>
    </row>
    <row r="35" spans="1:51" ht="14.65" customHeight="1">
      <c r="Q35" s="313"/>
      <c r="R35" s="313"/>
      <c r="S35" s="1202"/>
      <c r="T35" s="300"/>
      <c r="U35" s="1171"/>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Y35" s="1082">
        <v>14</v>
      </c>
    </row>
    <row r="36" spans="1:51" ht="14.65" customHeight="1">
      <c r="Q36" s="313"/>
      <c r="R36" s="313"/>
      <c r="S36" s="2461" t="s">
        <v>380</v>
      </c>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c r="AS36" s="2461" t="s">
        <v>381</v>
      </c>
      <c r="AY36" s="1082">
        <v>14</v>
      </c>
    </row>
    <row r="37" spans="1:51" ht="14.65" customHeight="1">
      <c r="Q37" s="313"/>
      <c r="R37" s="313"/>
      <c r="S37" s="2614" t="s">
        <v>88</v>
      </c>
      <c r="T37" s="2563" t="s">
        <v>506</v>
      </c>
      <c r="U37" s="238"/>
      <c r="V37" s="2615" t="s">
        <v>507</v>
      </c>
      <c r="W37" s="2616"/>
      <c r="X37" s="2616"/>
      <c r="Y37" s="2616"/>
      <c r="Z37" s="2616"/>
      <c r="AA37" s="2616"/>
      <c r="AB37" s="2616"/>
      <c r="AC37" s="2616"/>
      <c r="AD37" s="2616"/>
      <c r="AE37" s="2617"/>
      <c r="AF37" s="2618" t="s">
        <v>508</v>
      </c>
      <c r="AG37" s="2615" t="s">
        <v>507</v>
      </c>
      <c r="AH37" s="2616"/>
      <c r="AI37" s="2616"/>
      <c r="AJ37" s="2616"/>
      <c r="AK37" s="2616"/>
      <c r="AL37" s="2616"/>
      <c r="AM37" s="2616"/>
      <c r="AN37" s="2616"/>
      <c r="AO37" s="2616"/>
      <c r="AP37" s="2617"/>
      <c r="AQ37" s="2618" t="s">
        <v>509</v>
      </c>
      <c r="AR37" s="2621" t="s">
        <v>510</v>
      </c>
      <c r="AS37" s="2461"/>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614"/>
      <c r="T38" s="2563"/>
      <c r="U38" s="961"/>
      <c r="V38" s="2461" t="s">
        <v>611</v>
      </c>
      <c r="W38" s="2685" t="s">
        <v>612</v>
      </c>
      <c r="X38" s="2685"/>
      <c r="Y38" s="2685"/>
      <c r="Z38" s="2685" t="s">
        <v>613</v>
      </c>
      <c r="AA38" s="2685"/>
      <c r="AB38" s="2685"/>
      <c r="AC38" s="2536" t="s">
        <v>514</v>
      </c>
      <c r="AD38" s="2643"/>
      <c r="AE38" s="2537"/>
      <c r="AF38" s="2619"/>
      <c r="AG38" s="2461" t="s">
        <v>611</v>
      </c>
      <c r="AH38" s="2685" t="s">
        <v>612</v>
      </c>
      <c r="AI38" s="2685"/>
      <c r="AJ38" s="2685"/>
      <c r="AK38" s="2685" t="s">
        <v>613</v>
      </c>
      <c r="AL38" s="2685"/>
      <c r="AM38" s="2685"/>
      <c r="AN38" s="2536" t="s">
        <v>514</v>
      </c>
      <c r="AO38" s="2643"/>
      <c r="AP38" s="2537"/>
      <c r="AQ38" s="2619"/>
      <c r="AR38" s="2622"/>
      <c r="AS38" s="2461"/>
      <c r="AT38" s="1563"/>
      <c r="AU38" s="1563"/>
      <c r="AV38" s="1563"/>
      <c r="AW38" s="1563"/>
      <c r="AX38" s="1563"/>
      <c r="AY38" s="1558">
        <v>19</v>
      </c>
    </row>
    <row r="39" spans="1:51" ht="19.899999999999999" customHeight="1">
      <c r="Q39" s="313"/>
      <c r="R39" s="313"/>
      <c r="S39" s="2614"/>
      <c r="T39" s="2563"/>
      <c r="U39" s="961"/>
      <c r="V39" s="2461"/>
      <c r="W39" s="2685" t="s">
        <v>614</v>
      </c>
      <c r="X39" s="2685" t="s">
        <v>615</v>
      </c>
      <c r="Y39" s="2685"/>
      <c r="Z39" s="2685" t="s">
        <v>616</v>
      </c>
      <c r="AA39" s="2685" t="s">
        <v>615</v>
      </c>
      <c r="AB39" s="2685"/>
      <c r="AC39" s="2541"/>
      <c r="AD39" s="2644"/>
      <c r="AE39" s="2542"/>
      <c r="AF39" s="2619"/>
      <c r="AG39" s="2461"/>
      <c r="AH39" s="2685" t="s">
        <v>614</v>
      </c>
      <c r="AI39" s="2685" t="s">
        <v>615</v>
      </c>
      <c r="AJ39" s="2685"/>
      <c r="AK39" s="2685" t="s">
        <v>616</v>
      </c>
      <c r="AL39" s="2685" t="s">
        <v>615</v>
      </c>
      <c r="AM39" s="2685"/>
      <c r="AN39" s="2541"/>
      <c r="AO39" s="2644"/>
      <c r="AP39" s="2542"/>
      <c r="AQ39" s="2619"/>
      <c r="AR39" s="2622"/>
      <c r="AS39" s="2461"/>
      <c r="AY39" s="1082">
        <v>19</v>
      </c>
    </row>
    <row r="40" spans="1:51" ht="61.9" customHeight="1">
      <c r="A40" s="1297"/>
      <c r="B40" s="1297" t="s">
        <v>201</v>
      </c>
      <c r="C40" s="1297" t="s">
        <v>202</v>
      </c>
      <c r="D40" s="1297" t="s">
        <v>203</v>
      </c>
      <c r="E40" s="1291" t="s">
        <v>515</v>
      </c>
      <c r="F40" s="1291" t="s">
        <v>516</v>
      </c>
      <c r="G40" s="1291" t="s">
        <v>517</v>
      </c>
      <c r="H40" s="1291"/>
      <c r="I40" s="1291" t="s">
        <v>567</v>
      </c>
      <c r="J40" s="1291" t="s">
        <v>520</v>
      </c>
      <c r="K40" s="1291" t="s">
        <v>568</v>
      </c>
      <c r="L40" s="1291" t="s">
        <v>496</v>
      </c>
      <c r="Q40" s="313"/>
      <c r="R40" s="313"/>
      <c r="S40" s="2614"/>
      <c r="T40" s="2563"/>
      <c r="U40" s="239"/>
      <c r="V40" s="2461"/>
      <c r="W40" s="2685"/>
      <c r="X40" s="1906" t="s">
        <v>617</v>
      </c>
      <c r="Y40" s="1906" t="s">
        <v>618</v>
      </c>
      <c r="Z40" s="2685"/>
      <c r="AA40" s="1906" t="s">
        <v>619</v>
      </c>
      <c r="AB40" s="1906" t="s">
        <v>620</v>
      </c>
      <c r="AC40" s="1416" t="s">
        <v>524</v>
      </c>
      <c r="AD40" s="2568" t="s">
        <v>525</v>
      </c>
      <c r="AE40" s="2581"/>
      <c r="AF40" s="2620"/>
      <c r="AG40" s="2461"/>
      <c r="AH40" s="2685"/>
      <c r="AI40" s="1906" t="s">
        <v>617</v>
      </c>
      <c r="AJ40" s="1906" t="s">
        <v>618</v>
      </c>
      <c r="AK40" s="2685"/>
      <c r="AL40" s="1906" t="s">
        <v>619</v>
      </c>
      <c r="AM40" s="1906" t="s">
        <v>620</v>
      </c>
      <c r="AN40" s="1416" t="s">
        <v>524</v>
      </c>
      <c r="AO40" s="2568" t="s">
        <v>525</v>
      </c>
      <c r="AP40" s="2581"/>
      <c r="AQ40" s="2620"/>
      <c r="AR40" s="2623"/>
      <c r="AS40" s="246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177</v>
      </c>
      <c r="T41" s="1182" t="s">
        <v>102</v>
      </c>
      <c r="U41" s="1172" t="str">
        <f ca="1">OFFSET(U41,0,-1)</f>
        <v>2</v>
      </c>
      <c r="V41" s="1409">
        <f ca="1">OFFSET(V41,0,-1)+1</f>
        <v>3</v>
      </c>
      <c r="W41" s="1902"/>
      <c r="X41" s="1902"/>
      <c r="Y41" s="1902"/>
      <c r="Z41" s="1902"/>
      <c r="AA41" s="1902"/>
      <c r="AB41" s="1409">
        <f ca="1">OFFSET(AB41,0,-1)+1</f>
        <v>1</v>
      </c>
      <c r="AC41" s="1409">
        <f ca="1">OFFSET(AC41,0,-1)+1</f>
        <v>2</v>
      </c>
      <c r="AD41" s="2612">
        <f ca="1">OFFSET(AD41,0,-1)+1</f>
        <v>3</v>
      </c>
      <c r="AE41" s="2612"/>
      <c r="AF41" s="1409">
        <f ca="1">OFFSET(AF41,0,-2)+1</f>
        <v>4</v>
      </c>
      <c r="AG41" s="1409">
        <f ca="1">OFFSET(AG41,0,-1)+1</f>
        <v>5</v>
      </c>
      <c r="AH41" s="1902"/>
      <c r="AI41" s="1902"/>
      <c r="AJ41" s="1902"/>
      <c r="AK41" s="1902"/>
      <c r="AL41" s="1902"/>
      <c r="AM41" s="1409">
        <f ca="1">OFFSET(AM41,0,-1)+1</f>
        <v>1</v>
      </c>
      <c r="AN41" s="1409">
        <f ca="1">OFFSET(AN41,0,-1)+1</f>
        <v>2</v>
      </c>
      <c r="AO41" s="2612">
        <f ca="1">OFFSET(AO41,0,-1)+1</f>
        <v>3</v>
      </c>
      <c r="AP41" s="2612"/>
      <c r="AQ41" s="1409">
        <f ca="1">OFFSET(AQ41,0,-2)+1</f>
        <v>4</v>
      </c>
      <c r="AR41" s="1172">
        <f ca="1">OFFSET(AR41,0,-1)</f>
        <v>4</v>
      </c>
      <c r="AS41" s="1409">
        <f ca="1">OFFSET(AS41,0,-1)+1</f>
        <v>5</v>
      </c>
      <c r="AT41" s="448"/>
      <c r="AU41" s="448"/>
      <c r="AV41" s="448"/>
      <c r="AW41" s="448"/>
      <c r="AX41" s="448"/>
      <c r="AY41" s="433">
        <v>0</v>
      </c>
    </row>
    <row r="42" spans="1:51" ht="24" customHeight="1">
      <c r="A42" s="1290" t="s">
        <v>336</v>
      </c>
      <c r="B42" s="1290"/>
      <c r="C42" s="1290"/>
      <c r="D42" s="1290"/>
      <c r="E42" s="260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189</v>
      </c>
      <c r="U42" s="237"/>
      <c r="V42" s="2595"/>
      <c r="W42" s="2596"/>
      <c r="X42" s="2596"/>
      <c r="Y42" s="2596"/>
      <c r="Z42" s="2596"/>
      <c r="AA42" s="2596"/>
      <c r="AB42" s="2596"/>
      <c r="AC42" s="2596"/>
      <c r="AD42" s="2596"/>
      <c r="AE42" s="2596"/>
      <c r="AF42" s="2597"/>
      <c r="AG42" s="2595" t="str">
        <f>INDEX(PT_DIFFERENTIATION_NTAR,MATCH(A42,PT_DIFFERENTIATION_NTAR_ID,0))</f>
        <v/>
      </c>
      <c r="AH42" s="2596"/>
      <c r="AI42" s="2596"/>
      <c r="AJ42" s="2596"/>
      <c r="AK42" s="2596"/>
      <c r="AL42" s="2596"/>
      <c r="AM42" s="2596"/>
      <c r="AN42" s="2596"/>
      <c r="AO42" s="2596"/>
      <c r="AP42" s="2596"/>
      <c r="AQ42" s="2596"/>
      <c r="AR42" s="259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336</v>
      </c>
      <c r="B43" s="1290" t="s">
        <v>337</v>
      </c>
      <c r="C43" s="1290"/>
      <c r="D43" s="1290"/>
      <c r="E43" s="2602"/>
      <c r="F43" s="2601">
        <v>1</v>
      </c>
      <c r="G43" s="1290"/>
      <c r="H43" s="1290"/>
      <c r="I43" s="1290"/>
      <c r="J43" s="1290"/>
      <c r="K43" s="1290"/>
      <c r="L43" s="1291"/>
      <c r="M43" s="1292"/>
      <c r="N43" s="1292"/>
      <c r="O43" s="1292"/>
      <c r="P43" s="1414"/>
      <c r="Q43" s="289"/>
      <c r="R43" s="290"/>
      <c r="S43" s="1420" t="str">
        <f>INDEX(PT_DIFFERENTIATION_NUM_TER,MATCH(B43,PT_DIFFERENTIATION_TER_ID,0))</f>
        <v>.</v>
      </c>
      <c r="T43" s="245" t="s">
        <v>477</v>
      </c>
      <c r="U43" s="237"/>
      <c r="V43" s="2595"/>
      <c r="W43" s="2596"/>
      <c r="X43" s="2596"/>
      <c r="Y43" s="2596"/>
      <c r="Z43" s="2596"/>
      <c r="AA43" s="2596"/>
      <c r="AB43" s="2596"/>
      <c r="AC43" s="2596"/>
      <c r="AD43" s="2596"/>
      <c r="AE43" s="2596"/>
      <c r="AF43" s="2597"/>
      <c r="AG43" s="2595" t="str">
        <f>INDEX(PT_DIFFERENTIATION_TER,MATCH(B43,PT_DIFFERENTIATION_TER_ID,0))</f>
        <v/>
      </c>
      <c r="AH43" s="2596"/>
      <c r="AI43" s="2596"/>
      <c r="AJ43" s="2596"/>
      <c r="AK43" s="2596"/>
      <c r="AL43" s="2596"/>
      <c r="AM43" s="2596"/>
      <c r="AN43" s="2596"/>
      <c r="AO43" s="2596"/>
      <c r="AP43" s="2596"/>
      <c r="AQ43" s="2596"/>
      <c r="AR43" s="2597"/>
      <c r="AS43" s="1185" t="s">
        <v>478</v>
      </c>
      <c r="AU43" s="437"/>
      <c r="AV43" s="437" t="str">
        <f t="shared" si="1"/>
        <v>Территория действия тарифа</v>
      </c>
      <c r="AW43" s="437"/>
      <c r="AX43" s="437"/>
      <c r="AY43" s="1082">
        <v>23</v>
      </c>
    </row>
    <row r="44" spans="1:51" ht="24" customHeight="1">
      <c r="A44" s="1290" t="s">
        <v>336</v>
      </c>
      <c r="B44" s="1290" t="s">
        <v>337</v>
      </c>
      <c r="C44" s="1290" t="s">
        <v>338</v>
      </c>
      <c r="D44" s="1290"/>
      <c r="E44" s="2602"/>
      <c r="F44" s="2602"/>
      <c r="G44" s="2601">
        <v>1</v>
      </c>
      <c r="H44" s="1290"/>
      <c r="I44" s="1290"/>
      <c r="J44" s="1290"/>
      <c r="K44" s="1290"/>
      <c r="L44" s="1291"/>
      <c r="M44" s="1292"/>
      <c r="N44" s="1292"/>
      <c r="O44" s="1292"/>
      <c r="P44" s="291"/>
      <c r="Q44" s="289"/>
      <c r="R44" s="290"/>
      <c r="S44" s="1420" t="str">
        <f>INDEX(PT_DIFFERENTIATION_NUM_CS,MATCH(C44,PT_DIFFERENTIATION_CS_ID,0))</f>
        <v>..</v>
      </c>
      <c r="T44" s="246" t="s">
        <v>609</v>
      </c>
      <c r="U44" s="237"/>
      <c r="V44" s="2595"/>
      <c r="W44" s="2596"/>
      <c r="X44" s="2596"/>
      <c r="Y44" s="2596"/>
      <c r="Z44" s="2596"/>
      <c r="AA44" s="2596"/>
      <c r="AB44" s="2596"/>
      <c r="AC44" s="2596"/>
      <c r="AD44" s="2596"/>
      <c r="AE44" s="2596"/>
      <c r="AF44" s="2597"/>
      <c r="AG44" s="2595" t="str">
        <f>INDEX(PT_DIFFERENTIATION_CS,MATCH(C44,PT_DIFFERENTIATION_CS_ID,0))</f>
        <v/>
      </c>
      <c r="AH44" s="2596"/>
      <c r="AI44" s="2596"/>
      <c r="AJ44" s="2596"/>
      <c r="AK44" s="2596"/>
      <c r="AL44" s="2596"/>
      <c r="AM44" s="2596"/>
      <c r="AN44" s="2596"/>
      <c r="AO44" s="2596"/>
      <c r="AP44" s="2596"/>
      <c r="AQ44" s="2596"/>
      <c r="AR44" s="2597"/>
      <c r="AS44" s="1185" t="s">
        <v>610</v>
      </c>
      <c r="AU44" s="437"/>
      <c r="AV44" s="437" t="str">
        <f t="shared" si="1"/>
        <v>Наименование централизованной системы горячего водоснабжения</v>
      </c>
      <c r="AW44" s="437"/>
      <c r="AX44" s="437"/>
      <c r="AY44" s="1082">
        <v>23</v>
      </c>
    </row>
    <row r="45" spans="1:51" ht="24" customHeight="1">
      <c r="A45" s="1290" t="s">
        <v>336</v>
      </c>
      <c r="B45" s="1290" t="s">
        <v>337</v>
      </c>
      <c r="C45" s="1290" t="s">
        <v>338</v>
      </c>
      <c r="D45" s="1290" t="s">
        <v>622</v>
      </c>
      <c r="E45" s="2602"/>
      <c r="F45" s="2602"/>
      <c r="G45" s="2602"/>
      <c r="H45" s="2602"/>
      <c r="I45" s="2603" t="str">
        <f>S44&amp;".1"</f>
        <v>...1</v>
      </c>
      <c r="J45" s="1290"/>
      <c r="K45" s="1290"/>
      <c r="L45" s="1291"/>
      <c r="P45" s="2605">
        <v>1</v>
      </c>
      <c r="Q45" s="1408"/>
      <c r="R45" s="293"/>
      <c r="S45" s="1420" t="str">
        <f>$I45</f>
        <v>...1</v>
      </c>
      <c r="T45" s="222" t="s">
        <v>560</v>
      </c>
      <c r="U45" s="237"/>
      <c r="V45" s="2669"/>
      <c r="W45" s="2670"/>
      <c r="X45" s="2670"/>
      <c r="Y45" s="2670"/>
      <c r="Z45" s="2670"/>
      <c r="AA45" s="2670"/>
      <c r="AB45" s="2670"/>
      <c r="AC45" s="2670"/>
      <c r="AD45" s="2670"/>
      <c r="AE45" s="2670"/>
      <c r="AF45" s="2671"/>
      <c r="AG45" s="2672"/>
      <c r="AH45" s="2673"/>
      <c r="AI45" s="2673"/>
      <c r="AJ45" s="2673"/>
      <c r="AK45" s="2673"/>
      <c r="AL45" s="2673"/>
      <c r="AM45" s="2673"/>
      <c r="AN45" s="2673"/>
      <c r="AO45" s="2673"/>
      <c r="AP45" s="2673"/>
      <c r="AQ45" s="2673"/>
      <c r="AR45" s="2674"/>
      <c r="AS45" s="1185" t="s">
        <v>561</v>
      </c>
      <c r="AU45" s="437"/>
      <c r="AV45" s="437" t="str">
        <f t="shared" si="1"/>
        <v>Наименование признака дифференциации</v>
      </c>
      <c r="AW45" s="437"/>
      <c r="AX45" s="437"/>
      <c r="AY45" s="1082">
        <v>23</v>
      </c>
    </row>
    <row r="46" spans="1:51" ht="24" customHeight="1">
      <c r="A46" s="1290" t="s">
        <v>336</v>
      </c>
      <c r="B46" s="1290" t="s">
        <v>337</v>
      </c>
      <c r="C46" s="1290" t="s">
        <v>338</v>
      </c>
      <c r="D46" s="1290" t="s">
        <v>622</v>
      </c>
      <c r="E46" s="2602"/>
      <c r="F46" s="2602"/>
      <c r="G46" s="2602"/>
      <c r="H46" s="2602"/>
      <c r="I46" s="2604"/>
      <c r="J46" s="2603" t="str">
        <f>I45&amp;".1"</f>
        <v>...1.1</v>
      </c>
      <c r="K46" s="1290"/>
      <c r="L46" s="1291" t="s">
        <v>486</v>
      </c>
      <c r="P46" s="2605"/>
      <c r="Q46" s="2605">
        <v>1</v>
      </c>
      <c r="R46" s="294"/>
      <c r="S46" s="1420" t="str">
        <f>$J46</f>
        <v>...1.1</v>
      </c>
      <c r="T46" s="223" t="s">
        <v>487</v>
      </c>
      <c r="U46" s="237"/>
      <c r="V46" s="2589"/>
      <c r="W46" s="2590"/>
      <c r="X46" s="2590"/>
      <c r="Y46" s="2590"/>
      <c r="Z46" s="2590"/>
      <c r="AA46" s="2590"/>
      <c r="AB46" s="2590"/>
      <c r="AC46" s="2590"/>
      <c r="AD46" s="2590"/>
      <c r="AE46" s="2590"/>
      <c r="AF46" s="2591"/>
      <c r="AG46" s="2589"/>
      <c r="AH46" s="2590"/>
      <c r="AI46" s="2590"/>
      <c r="AJ46" s="2590"/>
      <c r="AK46" s="2590"/>
      <c r="AL46" s="2590"/>
      <c r="AM46" s="2590"/>
      <c r="AN46" s="2590"/>
      <c r="AO46" s="2590"/>
      <c r="AP46" s="2590"/>
      <c r="AQ46" s="2590"/>
      <c r="AR46" s="2591"/>
      <c r="AS46" s="1234" t="s">
        <v>562</v>
      </c>
      <c r="AU46" s="437"/>
      <c r="AV46" s="437" t="str">
        <f t="shared" si="1"/>
        <v>Группа потребителей</v>
      </c>
      <c r="AW46" s="437"/>
      <c r="AX46" s="437"/>
      <c r="AY46" s="1082">
        <v>23</v>
      </c>
    </row>
    <row r="47" spans="1:51" ht="24" customHeight="1">
      <c r="A47" s="1290" t="s">
        <v>336</v>
      </c>
      <c r="B47" s="1290" t="s">
        <v>337</v>
      </c>
      <c r="C47" s="1290" t="s">
        <v>338</v>
      </c>
      <c r="D47" s="1290" t="s">
        <v>622</v>
      </c>
      <c r="E47" s="2602"/>
      <c r="F47" s="2602"/>
      <c r="G47" s="2602"/>
      <c r="H47" s="2602"/>
      <c r="I47" s="2604"/>
      <c r="J47" s="2604"/>
      <c r="K47" s="2603" t="str">
        <f>J46&amp;".1"</f>
        <v>...1.1.1</v>
      </c>
      <c r="L47" s="1291"/>
      <c r="P47" s="2605"/>
      <c r="Q47" s="2605"/>
      <c r="R47" s="294">
        <v>1</v>
      </c>
      <c r="S47" s="1420" t="str">
        <f>$K47</f>
        <v>...1.1.1</v>
      </c>
      <c r="T47" s="1364"/>
      <c r="U47" s="237"/>
      <c r="V47" s="1287"/>
      <c r="W47" s="1287"/>
      <c r="X47" s="1287"/>
      <c r="Y47" s="1287"/>
      <c r="Z47" s="1287"/>
      <c r="AA47" s="1287"/>
      <c r="AB47" s="1288"/>
      <c r="AC47" s="2599"/>
      <c r="AD47" s="2598" t="s">
        <v>66</v>
      </c>
      <c r="AE47" s="2599"/>
      <c r="AF47" s="2598" t="s">
        <v>66</v>
      </c>
      <c r="AG47" s="688"/>
      <c r="AH47" s="688"/>
      <c r="AI47" s="688"/>
      <c r="AJ47" s="688"/>
      <c r="AK47" s="688"/>
      <c r="AL47" s="688"/>
      <c r="AM47" s="1184"/>
      <c r="AN47" s="2606"/>
      <c r="AO47" s="2471" t="s">
        <v>66</v>
      </c>
      <c r="AP47" s="2608"/>
      <c r="AQ47" s="2471" t="s">
        <v>19</v>
      </c>
      <c r="AR47" s="1365"/>
      <c r="AS47" s="26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336</v>
      </c>
      <c r="B48" s="1290" t="s">
        <v>337</v>
      </c>
      <c r="C48" s="1290" t="s">
        <v>338</v>
      </c>
      <c r="D48" s="1290" t="s">
        <v>622</v>
      </c>
      <c r="E48" s="2602"/>
      <c r="F48" s="2602"/>
      <c r="G48" s="2602"/>
      <c r="H48" s="2602"/>
      <c r="I48" s="2604"/>
      <c r="J48" s="2604"/>
      <c r="K48" s="2603"/>
      <c r="L48" s="1291"/>
      <c r="P48" s="2605"/>
      <c r="Q48" s="2605"/>
      <c r="R48" s="294"/>
      <c r="S48" s="1417"/>
      <c r="T48" s="237"/>
      <c r="U48" s="237"/>
      <c r="V48" s="1287"/>
      <c r="W48" s="1287"/>
      <c r="X48" s="1287"/>
      <c r="Y48" s="1287"/>
      <c r="Z48" s="1287"/>
      <c r="AA48" s="1287"/>
      <c r="AB48" s="265" t="str">
        <f>AC47&amp;"-"&amp;AE47</f>
        <v>-</v>
      </c>
      <c r="AC48" s="2598"/>
      <c r="AD48" s="2598"/>
      <c r="AE48" s="2598"/>
      <c r="AF48" s="2598"/>
      <c r="AG48" s="262"/>
      <c r="AH48" s="262"/>
      <c r="AI48" s="262"/>
      <c r="AJ48" s="262"/>
      <c r="AK48" s="262"/>
      <c r="AL48" s="262"/>
      <c r="AM48" s="265" t="str">
        <f>AN47&amp;"-"&amp;AP47</f>
        <v>-</v>
      </c>
      <c r="AN48" s="2607"/>
      <c r="AO48" s="2471"/>
      <c r="AP48" s="2609"/>
      <c r="AQ48" s="2471"/>
      <c r="AR48" s="1366"/>
      <c r="AS48" s="2675"/>
      <c r="AU48" s="437"/>
      <c r="AV48" s="437" t="str">
        <f t="shared" si="1"/>
        <v/>
      </c>
      <c r="AW48" s="437"/>
      <c r="AX48" s="437"/>
      <c r="AY48" s="1082">
        <v>0</v>
      </c>
    </row>
    <row r="49" spans="1:51" ht="21" customHeight="1">
      <c r="A49" s="1290" t="s">
        <v>336</v>
      </c>
      <c r="B49" s="1290" t="s">
        <v>337</v>
      </c>
      <c r="C49" s="1290" t="s">
        <v>338</v>
      </c>
      <c r="D49" s="1290" t="s">
        <v>622</v>
      </c>
      <c r="E49" s="2602"/>
      <c r="F49" s="2602"/>
      <c r="G49" s="2602"/>
      <c r="H49" s="2602"/>
      <c r="I49" s="2604"/>
      <c r="J49" s="2603"/>
      <c r="K49" s="1290"/>
      <c r="L49" s="1291"/>
      <c r="P49" s="2605"/>
      <c r="Q49" s="2605"/>
      <c r="R49" s="293"/>
      <c r="S49" s="1205"/>
      <c r="T49" s="224" t="s">
        <v>563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564</v>
      </c>
      <c r="AU49" s="437"/>
      <c r="AV49" s="437" t="str">
        <f t="shared" si="1"/>
        <v>Добавить значение признака дифференциации</v>
      </c>
      <c r="AW49" s="437"/>
      <c r="AX49" s="437"/>
      <c r="AY49" s="1082">
        <v>20</v>
      </c>
    </row>
    <row r="50" spans="1:51" ht="21.95" customHeight="1">
      <c r="A50" s="1290" t="s">
        <v>336</v>
      </c>
      <c r="B50" s="1290" t="s">
        <v>337</v>
      </c>
      <c r="C50" s="1290" t="s">
        <v>338</v>
      </c>
      <c r="D50" s="1290" t="s">
        <v>622</v>
      </c>
      <c r="E50" s="2602"/>
      <c r="F50" s="2602"/>
      <c r="G50" s="2602"/>
      <c r="H50" s="2602"/>
      <c r="I50" s="2603"/>
      <c r="J50" s="1290"/>
      <c r="K50" s="1290"/>
      <c r="L50" s="1291"/>
      <c r="P50" s="2605"/>
      <c r="Q50" s="1408"/>
      <c r="R50" s="293"/>
      <c r="S50" s="1205"/>
      <c r="T50" s="302" t="s">
        <v>492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336</v>
      </c>
      <c r="B51" s="1290" t="s">
        <v>337</v>
      </c>
      <c r="C51" s="1290" t="s">
        <v>338</v>
      </c>
      <c r="D51" s="1290" t="s">
        <v>622</v>
      </c>
      <c r="E51" s="2602"/>
      <c r="F51" s="2602"/>
      <c r="G51" s="2602"/>
      <c r="H51" s="2601"/>
      <c r="I51" s="1290"/>
      <c r="J51" s="1290"/>
      <c r="K51" s="1290"/>
      <c r="L51" s="1291"/>
      <c r="M51" s="1292"/>
      <c r="N51" s="1292"/>
      <c r="O51" s="474"/>
      <c r="P51" s="297"/>
      <c r="Q51" s="312"/>
      <c r="R51" s="292"/>
      <c r="S51" s="1205"/>
      <c r="T51" s="309" t="s">
        <v>565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336</v>
      </c>
      <c r="B52" s="1270" t="s">
        <v>337</v>
      </c>
      <c r="C52" s="1241"/>
      <c r="D52" s="1241"/>
      <c r="E52" s="2602"/>
      <c r="F52" s="2601"/>
      <c r="G52" s="1241"/>
      <c r="H52" s="1241"/>
      <c r="I52" s="1241"/>
      <c r="J52" s="1241"/>
      <c r="K52" s="1241"/>
      <c r="L52" s="1421"/>
      <c r="M52" s="1248"/>
      <c r="N52" s="1248"/>
      <c r="P52" s="1243"/>
      <c r="Q52" s="1244"/>
      <c r="R52" s="1243"/>
      <c r="S52" s="1249"/>
      <c r="T52" s="1252" t="s">
        <v>295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336</v>
      </c>
      <c r="B53" s="1270"/>
      <c r="C53" s="1270"/>
      <c r="D53" s="1270"/>
      <c r="E53" s="2601"/>
      <c r="F53" s="1270"/>
      <c r="G53" s="1270"/>
      <c r="H53" s="1270"/>
      <c r="I53" s="1270"/>
      <c r="J53" s="1270"/>
      <c r="K53" s="1270"/>
      <c r="L53" s="1273"/>
      <c r="M53" s="1248"/>
      <c r="N53" s="1248"/>
      <c r="O53" s="455"/>
      <c r="P53" s="317"/>
      <c r="Q53" s="1271"/>
      <c r="R53" s="317"/>
      <c r="S53" s="1249"/>
      <c r="T53" s="1252" t="s">
        <v>299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300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c r="AS56" s="2600"/>
      <c r="AY56" s="1082">
        <v>14</v>
      </c>
    </row>
    <row r="57" spans="1:51" ht="14.65" customHeight="1">
      <c r="O57" s="474"/>
      <c r="AY57" s="1082">
        <v>14</v>
      </c>
    </row>
    <row r="58" spans="1:51" ht="14.65" customHeight="1">
      <c r="O58" s="474"/>
      <c r="S58" s="1180"/>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c r="AS58" s="2600"/>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601">
        <v>1</v>
      </c>
      <c r="F2" s="1290"/>
      <c r="G2" s="1290"/>
      <c r="H2" s="1290"/>
      <c r="I2" s="1290"/>
      <c r="J2" s="1290"/>
      <c r="K2" s="1290"/>
      <c r="L2" s="1291"/>
      <c r="M2" s="1292"/>
      <c r="N2" s="1292"/>
      <c r="O2" s="1292"/>
      <c r="P2" s="1336"/>
      <c r="Q2" s="804"/>
      <c r="R2" s="292"/>
      <c r="S2" s="1420" t="e">
        <f>INDEX(PT_DIFFERENTIATION_NUM_NTAR,MATCH(A2,PT_DIFFERENTIATION_NTAR_ID,0))</f>
        <v>#N/A</v>
      </c>
      <c r="T2" s="235" t="s">
        <v>189</v>
      </c>
      <c r="U2" s="237"/>
      <c r="V2" s="2596"/>
      <c r="W2" s="2596"/>
      <c r="X2" s="2596"/>
      <c r="Y2" s="2596"/>
      <c r="Z2" s="2596"/>
      <c r="AA2" s="2596"/>
      <c r="AB2" s="2596"/>
      <c r="AC2" s="2597"/>
      <c r="AD2" s="2595" t="e">
        <f>INDEX(PT_DIFFERENTIATION_NTAR,MATCH(A2,PT_DIFFERENTIATION_NTAR_ID,0))</f>
        <v>#N/A</v>
      </c>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602"/>
      <c r="F3" s="2601">
        <v>1</v>
      </c>
      <c r="G3" s="1290"/>
      <c r="H3" s="1290"/>
      <c r="I3" s="1290"/>
      <c r="J3" s="1290"/>
      <c r="K3" s="1290"/>
      <c r="L3" s="1291"/>
      <c r="M3" s="1292"/>
      <c r="N3" s="1292"/>
      <c r="O3" s="1292"/>
      <c r="P3" s="1337"/>
      <c r="Q3" s="1338"/>
      <c r="R3" s="290"/>
      <c r="S3" s="1420" t="e">
        <f>INDEX(PT_DIFFERENTIATION_NUM_TER,MATCH(B3,PT_DIFFERENTIATION_TER_ID,0))</f>
        <v>#N/A</v>
      </c>
      <c r="T3" s="245" t="s">
        <v>477</v>
      </c>
      <c r="U3" s="237"/>
      <c r="V3" s="2596"/>
      <c r="W3" s="2596"/>
      <c r="X3" s="2596"/>
      <c r="Y3" s="2596"/>
      <c r="Z3" s="2596"/>
      <c r="AA3" s="2596"/>
      <c r="AB3" s="2596"/>
      <c r="AC3" s="2597"/>
      <c r="AD3" s="2595" t="e">
        <f>INDEX(PT_DIFFERENTIATION_TER,MATCH(B3,PT_DIFFERENTIATION_TER_ID,0))</f>
        <v>#N/A</v>
      </c>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7"/>
      <c r="BC3" s="1185" t="s">
        <v>478</v>
      </c>
      <c r="BE3" s="437"/>
      <c r="BF3" s="437" t="str">
        <f t="shared" si="0"/>
        <v>Территория действия тарифа</v>
      </c>
      <c r="BG3" s="437"/>
      <c r="BH3" s="437"/>
      <c r="BI3" s="1082">
        <v>0</v>
      </c>
    </row>
    <row r="4" spans="1:61" ht="33.75" hidden="1" customHeight="1">
      <c r="A4" s="1290"/>
      <c r="B4" s="1290"/>
      <c r="C4" s="1290"/>
      <c r="D4" s="1290"/>
      <c r="E4" s="2602"/>
      <c r="F4" s="2602"/>
      <c r="G4" s="2601">
        <v>1</v>
      </c>
      <c r="H4" s="1290"/>
      <c r="I4" s="1290"/>
      <c r="J4" s="1290"/>
      <c r="K4" s="1290"/>
      <c r="L4" s="1291"/>
      <c r="M4" s="1292"/>
      <c r="N4" s="1292"/>
      <c r="O4" s="1292"/>
      <c r="P4" s="1339"/>
      <c r="Q4" s="1338"/>
      <c r="R4" s="290"/>
      <c r="S4" s="1420" t="e">
        <f>INDEX(PT_DIFFERENTIATION_NUM_CS,MATCH(C4,PT_DIFFERENTIATION_CS_ID,0))</f>
        <v>#N/A</v>
      </c>
      <c r="T4" s="246" t="s">
        <v>609</v>
      </c>
      <c r="U4" s="237"/>
      <c r="V4" s="2596"/>
      <c r="W4" s="2596"/>
      <c r="X4" s="2596"/>
      <c r="Y4" s="2596"/>
      <c r="Z4" s="2596"/>
      <c r="AA4" s="2596"/>
      <c r="AB4" s="2596"/>
      <c r="AC4" s="2597"/>
      <c r="AD4" s="2595" t="e">
        <f>INDEX(PT_DIFFERENTIATION_CS,MATCH(C4,PT_DIFFERENTIATION_CS_ID,0))</f>
        <v>#N/A</v>
      </c>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7"/>
      <c r="BC4" s="1185" t="s">
        <v>610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602"/>
      <c r="F5" s="2602"/>
      <c r="G5" s="2602"/>
      <c r="H5" s="2601">
        <v>1</v>
      </c>
      <c r="I5" s="1270"/>
      <c r="J5" s="1270"/>
      <c r="K5" s="1270"/>
      <c r="L5" s="1273"/>
      <c r="M5" s="1242"/>
      <c r="N5" s="1242"/>
      <c r="O5" s="1242"/>
      <c r="P5" s="1424"/>
      <c r="Q5" s="1425"/>
      <c r="R5" s="294"/>
      <c r="S5" s="972"/>
      <c r="T5" s="1426"/>
      <c r="U5" s="1311"/>
      <c r="V5" s="2633"/>
      <c r="W5" s="2633"/>
      <c r="X5" s="2633"/>
      <c r="Y5" s="2633"/>
      <c r="Z5" s="2633"/>
      <c r="AA5" s="2633"/>
      <c r="AB5" s="2633"/>
      <c r="AC5" s="2634"/>
      <c r="AD5" s="2632"/>
      <c r="AE5" s="2633"/>
      <c r="AF5" s="2633"/>
      <c r="AG5" s="2633"/>
      <c r="AH5" s="2633"/>
      <c r="AI5" s="2633"/>
      <c r="AJ5" s="2633"/>
      <c r="AK5" s="2633"/>
      <c r="AL5" s="2633"/>
      <c r="AM5" s="2633"/>
      <c r="AN5" s="2633"/>
      <c r="AO5" s="2633"/>
      <c r="AP5" s="2633"/>
      <c r="AQ5" s="2633"/>
      <c r="AR5" s="2633"/>
      <c r="AS5" s="2633"/>
      <c r="AT5" s="2633"/>
      <c r="AU5" s="2633"/>
      <c r="AV5" s="2633"/>
      <c r="AW5" s="2633"/>
      <c r="AX5" s="2633"/>
      <c r="AY5" s="2633"/>
      <c r="AZ5" s="2633"/>
      <c r="BA5" s="2633"/>
      <c r="BB5" s="2634"/>
      <c r="BC5" s="1312" t="s">
        <v>482</v>
      </c>
      <c r="BE5" s="437"/>
      <c r="BF5" s="437" t="str">
        <f t="shared" si="0"/>
        <v/>
      </c>
      <c r="BG5" s="437"/>
      <c r="BH5" s="437"/>
      <c r="BI5" s="448">
        <v>0</v>
      </c>
    </row>
    <row r="6" spans="1:61" s="1569" customFormat="1" ht="14.25" hidden="1" customHeight="1">
      <c r="A6" s="1270"/>
      <c r="B6" s="1270"/>
      <c r="C6" s="1270"/>
      <c r="D6" s="1270"/>
      <c r="E6" s="2602"/>
      <c r="F6" s="2602"/>
      <c r="G6" s="2602"/>
      <c r="H6" s="2602"/>
      <c r="I6" s="2603" t="str">
        <f>S5&amp;".1"</f>
        <v>.1</v>
      </c>
      <c r="J6" s="1270"/>
      <c r="K6" s="1270"/>
      <c r="L6" s="1273" t="s">
        <v>483</v>
      </c>
      <c r="M6" s="447"/>
      <c r="N6" s="447"/>
      <c r="O6" s="447"/>
      <c r="P6" s="2605">
        <v>1</v>
      </c>
      <c r="Q6" s="1408"/>
      <c r="R6" s="293"/>
      <c r="S6" s="972"/>
      <c r="T6" s="1310"/>
      <c r="U6" s="1311"/>
      <c r="V6" s="2633"/>
      <c r="W6" s="2633"/>
      <c r="X6" s="2633"/>
      <c r="Y6" s="2633"/>
      <c r="Z6" s="2633"/>
      <c r="AA6" s="2633"/>
      <c r="AB6" s="2633"/>
      <c r="AC6" s="2634"/>
      <c r="AD6" s="2632"/>
      <c r="AE6" s="2633"/>
      <c r="AF6" s="2633"/>
      <c r="AG6" s="2633"/>
      <c r="AH6" s="2633"/>
      <c r="AI6" s="2633"/>
      <c r="AJ6" s="2633"/>
      <c r="AK6" s="2633"/>
      <c r="AL6" s="2633"/>
      <c r="AM6" s="2633"/>
      <c r="AN6" s="2633"/>
      <c r="AO6" s="2633"/>
      <c r="AP6" s="2633"/>
      <c r="AQ6" s="2633"/>
      <c r="AR6" s="2633"/>
      <c r="AS6" s="2633"/>
      <c r="AT6" s="2633"/>
      <c r="AU6" s="2633"/>
      <c r="AV6" s="2633"/>
      <c r="AW6" s="2633"/>
      <c r="AX6" s="2633"/>
      <c r="AY6" s="2633"/>
      <c r="AZ6" s="2633"/>
      <c r="BA6" s="2633"/>
      <c r="BB6" s="2634"/>
      <c r="BC6" s="1312"/>
      <c r="BE6" s="437"/>
      <c r="BF6" s="437" t="str">
        <f t="shared" si="0"/>
        <v/>
      </c>
      <c r="BG6" s="437"/>
      <c r="BH6" s="437"/>
      <c r="BI6" s="448">
        <v>0</v>
      </c>
    </row>
    <row r="7" spans="1:61" s="1569" customFormat="1" ht="14.25" hidden="1" customHeight="1">
      <c r="A7" s="1270"/>
      <c r="B7" s="1270"/>
      <c r="C7" s="1270"/>
      <c r="D7" s="1270"/>
      <c r="E7" s="2602"/>
      <c r="F7" s="2602"/>
      <c r="G7" s="2602"/>
      <c r="H7" s="2602"/>
      <c r="I7" s="2604"/>
      <c r="J7" s="2603" t="str">
        <f>S5&amp;".1"</f>
        <v>.1</v>
      </c>
      <c r="K7" s="1270"/>
      <c r="L7" s="1273"/>
      <c r="M7" s="447"/>
      <c r="N7" s="447"/>
      <c r="O7" s="447"/>
      <c r="P7" s="2605"/>
      <c r="Q7" s="2605">
        <v>1</v>
      </c>
      <c r="R7" s="294"/>
      <c r="S7" s="972"/>
      <c r="T7" s="1326"/>
      <c r="U7" s="1311"/>
      <c r="V7" s="2633"/>
      <c r="W7" s="2633"/>
      <c r="X7" s="2633"/>
      <c r="Y7" s="2633"/>
      <c r="Z7" s="2633"/>
      <c r="AA7" s="2633"/>
      <c r="AB7" s="2633"/>
      <c r="AC7" s="2634"/>
      <c r="AD7" s="2632"/>
      <c r="AE7" s="2633"/>
      <c r="AF7" s="2633"/>
      <c r="AG7" s="2633"/>
      <c r="AH7" s="2633"/>
      <c r="AI7" s="2633"/>
      <c r="AJ7" s="2633"/>
      <c r="AK7" s="2633"/>
      <c r="AL7" s="2633"/>
      <c r="AM7" s="2633"/>
      <c r="AN7" s="2633"/>
      <c r="AO7" s="2633"/>
      <c r="AP7" s="2633"/>
      <c r="AQ7" s="2633"/>
      <c r="AR7" s="2633"/>
      <c r="AS7" s="2633"/>
      <c r="AT7" s="2633"/>
      <c r="AU7" s="2633"/>
      <c r="AV7" s="2633"/>
      <c r="AW7" s="2633"/>
      <c r="AX7" s="2633"/>
      <c r="AY7" s="2633"/>
      <c r="AZ7" s="2633"/>
      <c r="BA7" s="2633"/>
      <c r="BB7" s="2634"/>
      <c r="BC7" s="1312"/>
      <c r="BE7" s="437"/>
      <c r="BF7" s="437" t="str">
        <f t="shared" si="0"/>
        <v/>
      </c>
      <c r="BG7" s="437"/>
      <c r="BH7" s="437"/>
      <c r="BI7" s="448">
        <v>0</v>
      </c>
    </row>
    <row r="8" spans="1:61" ht="11.25" hidden="1" customHeight="1">
      <c r="A8" s="1290"/>
      <c r="B8" s="1290"/>
      <c r="C8" s="1290"/>
      <c r="D8" s="1290"/>
      <c r="E8" s="2602"/>
      <c r="F8" s="2602"/>
      <c r="G8" s="2602"/>
      <c r="H8" s="2602"/>
      <c r="I8" s="2604"/>
      <c r="J8" s="2604"/>
      <c r="K8" s="2603" t="e">
        <f>S4&amp;".1"</f>
        <v>#N/A</v>
      </c>
      <c r="L8" s="1291"/>
      <c r="P8" s="2605"/>
      <c r="Q8" s="2605"/>
      <c r="R8" s="2661">
        <v>1</v>
      </c>
      <c r="S8" s="2658" t="e">
        <f>$K8</f>
        <v>#N/A</v>
      </c>
      <c r="T8" s="2678"/>
      <c r="U8" s="237"/>
      <c r="V8" s="688"/>
      <c r="W8" s="1184"/>
      <c r="X8" s="688"/>
      <c r="Y8" s="1184"/>
      <c r="Z8" s="1661"/>
      <c r="AA8" s="1396" t="s">
        <v>66</v>
      </c>
      <c r="AB8" s="1661"/>
      <c r="AC8" s="1396" t="s">
        <v>66</v>
      </c>
      <c r="AD8" s="2531" t="s">
        <v>66</v>
      </c>
      <c r="AE8" s="2654"/>
      <c r="AF8" s="2559">
        <v>1</v>
      </c>
      <c r="AG8" s="2677"/>
      <c r="AH8" s="2471" t="s">
        <v>66</v>
      </c>
      <c r="AI8" s="2654"/>
      <c r="AJ8" s="2559">
        <v>1</v>
      </c>
      <c r="AK8" s="2668" t="s">
        <v>28</v>
      </c>
      <c r="AL8" s="2471" t="s">
        <v>66</v>
      </c>
      <c r="AM8" s="2536"/>
      <c r="AN8" s="2559">
        <v>1</v>
      </c>
      <c r="AO8" s="2681"/>
      <c r="AP8" s="2682" t="s">
        <v>66</v>
      </c>
      <c r="AQ8" s="248"/>
      <c r="AR8" s="1413">
        <v>1</v>
      </c>
      <c r="AS8" s="1419" t="s">
        <v>28</v>
      </c>
      <c r="AT8" s="688"/>
      <c r="AU8" s="1184"/>
      <c r="AV8" s="688"/>
      <c r="AW8" s="1184"/>
      <c r="AX8" s="1661"/>
      <c r="AY8" s="1396" t="s">
        <v>66</v>
      </c>
      <c r="AZ8" s="1661"/>
      <c r="BA8" s="1396" t="s">
        <v>66</v>
      </c>
      <c r="BB8" s="1275"/>
      <c r="BC8" s="2624" t="s">
        <v>580</v>
      </c>
      <c r="BE8" s="437"/>
      <c r="BF8" s="437" t="str">
        <f t="shared" si="0"/>
        <v/>
      </c>
      <c r="BG8" s="437"/>
      <c r="BH8" s="437"/>
      <c r="BI8" s="1082">
        <v>0</v>
      </c>
    </row>
    <row r="9" spans="1:61" ht="11.25" hidden="1" customHeight="1">
      <c r="A9" s="1290"/>
      <c r="B9" s="1290"/>
      <c r="C9" s="1290"/>
      <c r="D9" s="1290"/>
      <c r="E9" s="2602"/>
      <c r="F9" s="2602"/>
      <c r="G9" s="2602"/>
      <c r="H9" s="2602"/>
      <c r="I9" s="2604"/>
      <c r="J9" s="2604"/>
      <c r="K9" s="2603"/>
      <c r="L9" s="1291"/>
      <c r="P9" s="2605"/>
      <c r="Q9" s="2605"/>
      <c r="R9" s="2661"/>
      <c r="S9" s="2659"/>
      <c r="T9" s="2679"/>
      <c r="U9" s="237"/>
      <c r="V9" s="1320"/>
      <c r="W9" s="1423"/>
      <c r="X9" s="1320"/>
      <c r="Y9" s="1423"/>
      <c r="Z9" s="1320"/>
      <c r="AA9" s="1320"/>
      <c r="AB9" s="1320"/>
      <c r="AC9" s="1320"/>
      <c r="AD9" s="2532"/>
      <c r="AE9" s="2654"/>
      <c r="AF9" s="2559"/>
      <c r="AG9" s="2677"/>
      <c r="AH9" s="2471"/>
      <c r="AI9" s="2654"/>
      <c r="AJ9" s="2559"/>
      <c r="AK9" s="2668"/>
      <c r="AL9" s="2471"/>
      <c r="AM9" s="2541"/>
      <c r="AN9" s="2559"/>
      <c r="AO9" s="2681"/>
      <c r="AP9" s="2683"/>
      <c r="AQ9" s="253"/>
      <c r="AR9" s="353"/>
      <c r="AS9" s="353" t="s">
        <v>581</v>
      </c>
      <c r="AT9" s="1320"/>
      <c r="AU9" s="1423"/>
      <c r="AV9" s="1320"/>
      <c r="AW9" s="1423"/>
      <c r="AX9" s="1320"/>
      <c r="AY9" s="1320"/>
      <c r="AZ9" s="1320"/>
      <c r="BA9" s="1320"/>
      <c r="BB9" s="1324"/>
      <c r="BC9" s="2625"/>
      <c r="BE9" s="437"/>
      <c r="BF9" s="437"/>
      <c r="BG9" s="437"/>
      <c r="BH9" s="437"/>
      <c r="BI9" s="1082">
        <v>0</v>
      </c>
    </row>
    <row r="10" spans="1:61" ht="11.25" hidden="1" customHeight="1">
      <c r="A10" s="1290"/>
      <c r="B10" s="1290"/>
      <c r="C10" s="1290"/>
      <c r="D10" s="1290"/>
      <c r="E10" s="2602"/>
      <c r="F10" s="2602"/>
      <c r="G10" s="2602"/>
      <c r="H10" s="2602"/>
      <c r="I10" s="2604"/>
      <c r="J10" s="2604"/>
      <c r="K10" s="2603"/>
      <c r="L10" s="1291"/>
      <c r="P10" s="2605"/>
      <c r="Q10" s="2605"/>
      <c r="R10" s="2661"/>
      <c r="S10" s="2659"/>
      <c r="T10" s="2679"/>
      <c r="U10" s="237"/>
      <c r="V10" s="1320"/>
      <c r="W10" s="1423"/>
      <c r="X10" s="1320"/>
      <c r="Y10" s="1423"/>
      <c r="Z10" s="1320"/>
      <c r="AA10" s="1320"/>
      <c r="AB10" s="1320"/>
      <c r="AC10" s="1320"/>
      <c r="AD10" s="2532"/>
      <c r="AE10" s="2654"/>
      <c r="AF10" s="2559"/>
      <c r="AG10" s="2677"/>
      <c r="AH10" s="2471"/>
      <c r="AI10" s="2654"/>
      <c r="AJ10" s="2559"/>
      <c r="AK10" s="2668"/>
      <c r="AL10" s="2471"/>
      <c r="AM10" s="253"/>
      <c r="AN10" s="1427"/>
      <c r="AO10" s="1427" t="s">
        <v>582</v>
      </c>
      <c r="AP10" s="353"/>
      <c r="AQ10" s="353"/>
      <c r="AR10" s="353"/>
      <c r="AS10" s="1320"/>
      <c r="AT10" s="1320"/>
      <c r="AU10" s="1423"/>
      <c r="AV10" s="1320"/>
      <c r="AW10" s="1423"/>
      <c r="AX10" s="1320"/>
      <c r="AY10" s="1320"/>
      <c r="AZ10" s="1320"/>
      <c r="BA10" s="1320"/>
      <c r="BB10" s="1324"/>
      <c r="BC10" s="2625"/>
      <c r="BE10" s="437"/>
      <c r="BF10" s="437"/>
      <c r="BG10" s="437"/>
      <c r="BH10" s="437"/>
      <c r="BI10" s="1082">
        <v>0</v>
      </c>
    </row>
    <row r="11" spans="1:61" ht="11.25" hidden="1" customHeight="1">
      <c r="A11" s="1290"/>
      <c r="B11" s="1290"/>
      <c r="C11" s="1290"/>
      <c r="D11" s="1290"/>
      <c r="E11" s="2602"/>
      <c r="F11" s="2602"/>
      <c r="G11" s="2602"/>
      <c r="H11" s="2602"/>
      <c r="I11" s="2604"/>
      <c r="J11" s="2604"/>
      <c r="K11" s="2603"/>
      <c r="L11" s="1291"/>
      <c r="P11" s="2605"/>
      <c r="Q11" s="2605"/>
      <c r="R11" s="2661"/>
      <c r="S11" s="2659"/>
      <c r="T11" s="2679"/>
      <c r="U11" s="237"/>
      <c r="V11" s="1320"/>
      <c r="W11" s="1423"/>
      <c r="X11" s="1320"/>
      <c r="Y11" s="1423"/>
      <c r="Z11" s="1320"/>
      <c r="AA11" s="1320"/>
      <c r="AB11" s="1320"/>
      <c r="AC11" s="1320"/>
      <c r="AD11" s="2532"/>
      <c r="AE11" s="2654"/>
      <c r="AF11" s="2559"/>
      <c r="AG11" s="2677"/>
      <c r="AH11" s="2471"/>
      <c r="AI11" s="231"/>
      <c r="AJ11" s="352"/>
      <c r="AK11" s="250" t="s">
        <v>583</v>
      </c>
      <c r="AL11" s="1320"/>
      <c r="AM11" s="1320"/>
      <c r="AN11" s="1320"/>
      <c r="AO11" s="1320"/>
      <c r="AP11" s="1320"/>
      <c r="AQ11" s="1320"/>
      <c r="AR11" s="1320"/>
      <c r="AS11" s="1320"/>
      <c r="AT11" s="1320"/>
      <c r="AU11" s="1423"/>
      <c r="AV11" s="1320"/>
      <c r="AW11" s="1423"/>
      <c r="AX11" s="1320"/>
      <c r="AY11" s="1320"/>
      <c r="AZ11" s="1320"/>
      <c r="BA11" s="1320"/>
      <c r="BB11" s="1324"/>
      <c r="BC11" s="2625"/>
      <c r="BE11" s="437"/>
      <c r="BF11" s="437"/>
      <c r="BG11" s="437"/>
      <c r="BH11" s="437"/>
      <c r="BI11" s="1082">
        <v>0</v>
      </c>
    </row>
    <row r="12" spans="1:61" ht="11.25" hidden="1" customHeight="1">
      <c r="A12" s="1290"/>
      <c r="B12" s="1290"/>
      <c r="C12" s="1290"/>
      <c r="D12" s="1290"/>
      <c r="E12" s="2602"/>
      <c r="F12" s="2602"/>
      <c r="G12" s="2602"/>
      <c r="H12" s="2602"/>
      <c r="I12" s="2604"/>
      <c r="J12" s="2604"/>
      <c r="K12" s="2603"/>
      <c r="L12" s="1291"/>
      <c r="P12" s="2605"/>
      <c r="Q12" s="2605"/>
      <c r="R12" s="2661"/>
      <c r="S12" s="2660"/>
      <c r="T12" s="2680"/>
      <c r="U12" s="237"/>
      <c r="V12" s="1320"/>
      <c r="W12" s="1321" t="str">
        <f>Z8&amp;"-"&amp;AB8</f>
        <v>-</v>
      </c>
      <c r="X12" s="1320"/>
      <c r="Y12" s="1321" t="str">
        <f>AB8&amp;"-"&amp;AD8</f>
        <v>-да</v>
      </c>
      <c r="Z12" s="1320"/>
      <c r="AA12" s="1320"/>
      <c r="AB12" s="1320"/>
      <c r="AC12" s="1320"/>
      <c r="AD12" s="2476"/>
      <c r="AE12" s="249"/>
      <c r="AF12" s="251"/>
      <c r="AG12" s="353" t="s">
        <v>584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625"/>
      <c r="BE12" s="437"/>
      <c r="BF12" s="437" t="str">
        <f t="shared" ref="BF12:BF18" si="1">IF(T12="","",T12)</f>
        <v/>
      </c>
      <c r="BG12" s="437"/>
      <c r="BH12" s="437"/>
      <c r="BI12" s="1082">
        <v>0</v>
      </c>
    </row>
    <row r="13" spans="1:61" ht="11.25" hidden="1" customHeight="1">
      <c r="A13" s="1290"/>
      <c r="B13" s="1290"/>
      <c r="C13" s="1290"/>
      <c r="D13" s="1290"/>
      <c r="E13" s="2602"/>
      <c r="F13" s="2602"/>
      <c r="G13" s="2602"/>
      <c r="H13" s="2602"/>
      <c r="I13" s="2604"/>
      <c r="J13" s="2603"/>
      <c r="K13" s="1290"/>
      <c r="L13" s="1291"/>
      <c r="P13" s="2605"/>
      <c r="Q13" s="2605"/>
      <c r="R13" s="293"/>
      <c r="S13" s="1205"/>
      <c r="T13" s="224" t="s">
        <v>545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626"/>
      <c r="BE13" s="437"/>
      <c r="BF13" s="437" t="str">
        <f t="shared" si="1"/>
        <v>Добавить строку</v>
      </c>
      <c r="BG13" s="437"/>
      <c r="BH13" s="437"/>
      <c r="BI13" s="1082">
        <v>0</v>
      </c>
    </row>
    <row r="14" spans="1:61" s="1569" customFormat="1" ht="14.25" hidden="1" customHeight="1">
      <c r="A14" s="1270"/>
      <c r="B14" s="1270"/>
      <c r="C14" s="1270"/>
      <c r="D14" s="1270"/>
      <c r="E14" s="2602"/>
      <c r="F14" s="2602"/>
      <c r="G14" s="2602"/>
      <c r="H14" s="2602"/>
      <c r="I14" s="2603"/>
      <c r="J14" s="1270"/>
      <c r="K14" s="1270"/>
      <c r="L14" s="1273"/>
      <c r="M14" s="447"/>
      <c r="N14" s="447"/>
      <c r="O14" s="447"/>
      <c r="P14" s="260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602"/>
      <c r="F15" s="2602"/>
      <c r="G15" s="2602"/>
      <c r="H15" s="260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602"/>
      <c r="F16" s="2602"/>
      <c r="G16" s="260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602"/>
      <c r="F17" s="2601"/>
      <c r="G17" s="1241"/>
      <c r="H17" s="1241"/>
      <c r="I17" s="1241"/>
      <c r="J17" s="1241"/>
      <c r="K17" s="1241"/>
      <c r="L17" s="1421"/>
      <c r="M17" s="1248"/>
      <c r="N17" s="1248"/>
      <c r="P17" s="1243"/>
      <c r="Q17" s="1244"/>
      <c r="R17" s="1243"/>
      <c r="S17" s="1249"/>
      <c r="T17" s="1252" t="s">
        <v>295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601"/>
      <c r="F18" s="1270"/>
      <c r="G18" s="1270"/>
      <c r="H18" s="1270"/>
      <c r="I18" s="1270"/>
      <c r="J18" s="1270"/>
      <c r="K18" s="1270"/>
      <c r="L18" s="1273"/>
      <c r="M18" s="1248"/>
      <c r="N18" s="1248"/>
      <c r="O18" s="455"/>
      <c r="P18" s="317"/>
      <c r="Q18" s="1271"/>
      <c r="R18" s="317"/>
      <c r="S18" s="1249"/>
      <c r="T18" s="1252" t="s">
        <v>299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66</v>
      </c>
      <c r="AZ20" s="1663"/>
      <c r="BA20" s="1412" t="s">
        <v>66</v>
      </c>
      <c r="BI20" s="1082">
        <v>0</v>
      </c>
    </row>
    <row r="21" spans="1:61" ht="14.25" hidden="1" customHeight="1">
      <c r="BD21" s="433"/>
      <c r="BE21" s="433"/>
      <c r="BF21" s="433"/>
      <c r="BG21" s="433"/>
      <c r="BH21" s="433"/>
      <c r="BI21" s="1082">
        <v>0</v>
      </c>
    </row>
    <row r="22" spans="1:61" ht="14.25" hidden="1" customHeight="1">
      <c r="O22" s="1294" t="s">
        <v>495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496</v>
      </c>
      <c r="P24" s="1435"/>
      <c r="Q24" s="1437"/>
      <c r="R24" s="1437"/>
      <c r="AA24" s="1434" t="s">
        <v>498</v>
      </c>
      <c r="AC24" s="1434" t="s">
        <v>499</v>
      </c>
      <c r="AD24" s="1434" t="s">
        <v>546</v>
      </c>
      <c r="AH24" s="1434" t="s">
        <v>546</v>
      </c>
      <c r="AK24" s="1434" t="s">
        <v>585</v>
      </c>
      <c r="AL24" s="1434" t="s">
        <v>546</v>
      </c>
      <c r="AP24" s="1434" t="s">
        <v>546</v>
      </c>
      <c r="AY24" s="1434" t="s">
        <v>498</v>
      </c>
      <c r="BA24" s="1434" t="s">
        <v>499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58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82"/>
      <c r="U28" s="2582"/>
      <c r="V28" s="2582"/>
      <c r="W28" s="2582"/>
      <c r="X28" s="2582"/>
      <c r="Y28" s="2582"/>
      <c r="Z28" s="2582"/>
      <c r="AA28" s="2582"/>
      <c r="AB28" s="2582"/>
      <c r="AC28" s="2582"/>
      <c r="AD28" s="2582"/>
      <c r="AE28" s="2582"/>
      <c r="AF28" s="2582"/>
      <c r="AG28" s="2582"/>
      <c r="AH28" s="2582"/>
      <c r="AI28" s="2582"/>
      <c r="AJ28" s="2582"/>
      <c r="AK28" s="2582"/>
      <c r="AL28" s="2582"/>
      <c r="AM28" s="2582"/>
      <c r="AN28" s="2582"/>
      <c r="AO28" s="2582"/>
      <c r="AP28" s="2582"/>
      <c r="AQ28" s="2582"/>
      <c r="AR28" s="2582"/>
      <c r="AS28" s="2582"/>
      <c r="AT28" s="2582"/>
      <c r="AU28" s="2582"/>
      <c r="AV28" s="2582"/>
      <c r="AW28" s="2582"/>
      <c r="AX28" s="2582"/>
      <c r="AY28" s="2582"/>
      <c r="AZ28" s="2582"/>
      <c r="BA28" s="1170"/>
      <c r="BI28" s="1082">
        <v>14</v>
      </c>
    </row>
    <row r="29" spans="1:61" ht="14.65" customHeight="1">
      <c r="Q29" s="228"/>
      <c r="R29" s="313"/>
      <c r="S29"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592" t="s">
        <v>42</v>
      </c>
      <c r="T31" s="2592"/>
      <c r="U31" s="1299"/>
      <c r="V31" s="2594" t="str">
        <f>IF(TITLE_NAME_OR_PR_CHANGE="",IF(TITLE_NAME_OR_PR="","",TITLE_NAME_OR_PR),TITLE_NAME_OR_PR_CHANGE)</f>
        <v>Региональная служба по тарифам Ростовской области</v>
      </c>
      <c r="W31" s="2594"/>
      <c r="X31" s="2594"/>
      <c r="Y31" s="2594"/>
      <c r="Z31" s="2594"/>
      <c r="AA31" s="2594"/>
      <c r="AB31" s="2594"/>
      <c r="AC31" s="263"/>
      <c r="AD31" s="2594" t="str">
        <f>IF(TITLE_NAME_OR_PR_CHANGE="",IF(TITLE_NAME_OR_PR="","",TITLE_NAME_OR_PR),TITLE_NAME_OR_PR_CHANGE)</f>
        <v>Региональная служба по тарифам Ростовской области</v>
      </c>
      <c r="AE31" s="2594"/>
      <c r="AF31" s="2594"/>
      <c r="AG31" s="2594"/>
      <c r="AH31" s="2594"/>
      <c r="AI31" s="2594"/>
      <c r="AJ31" s="2594"/>
      <c r="AK31" s="2594"/>
      <c r="AL31" s="2594"/>
      <c r="AM31" s="2594"/>
      <c r="AN31" s="2594"/>
      <c r="AO31" s="2594"/>
      <c r="AP31" s="2594"/>
      <c r="AQ31" s="2594"/>
      <c r="AR31" s="2594"/>
      <c r="AS31" s="2594"/>
      <c r="AT31" s="2594"/>
      <c r="AU31" s="2594"/>
      <c r="AV31" s="2594"/>
      <c r="AW31" s="2594"/>
      <c r="AX31" s="2594"/>
      <c r="AY31" s="2594"/>
      <c r="AZ31" s="2594"/>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592" t="s">
        <v>501</v>
      </c>
      <c r="T32" s="2592"/>
      <c r="U32" s="1299"/>
      <c r="V32" s="2593">
        <f>IF(TITLE_DATE_PR_CHANGE="",IF(TITLE_DATE_PR="","",TITLE_DATE_PR),TITLE_DATE_PR_CHANGE)</f>
        <v>45596.468541666669</v>
      </c>
      <c r="W32" s="2593"/>
      <c r="X32" s="2593"/>
      <c r="Y32" s="2593"/>
      <c r="Z32" s="2593"/>
      <c r="AA32" s="2593"/>
      <c r="AB32" s="2593"/>
      <c r="AC32" s="263"/>
      <c r="AD32" s="2593">
        <f>IF(TITLE_DATE_PR_CHANGE="",IF(TITLE_DATE_PR="","",TITLE_DATE_PR),TITLE_DATE_PR_CHANGE)</f>
        <v>45596.468541666669</v>
      </c>
      <c r="AE32" s="2593"/>
      <c r="AF32" s="2593"/>
      <c r="AG32" s="2593"/>
      <c r="AH32" s="2593"/>
      <c r="AI32" s="2593"/>
      <c r="AJ32" s="2593"/>
      <c r="AK32" s="2593"/>
      <c r="AL32" s="2593"/>
      <c r="AM32" s="2593"/>
      <c r="AN32" s="2593"/>
      <c r="AO32" s="2593"/>
      <c r="AP32" s="2593"/>
      <c r="AQ32" s="2593"/>
      <c r="AR32" s="2593"/>
      <c r="AS32" s="2593"/>
      <c r="AT32" s="2593"/>
      <c r="AU32" s="2593"/>
      <c r="AV32" s="2593"/>
      <c r="AW32" s="2593"/>
      <c r="AX32" s="2593"/>
      <c r="AY32" s="2593"/>
      <c r="AZ32" s="2593"/>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592" t="s">
        <v>502</v>
      </c>
      <c r="T33" s="2592"/>
      <c r="U33" s="1299"/>
      <c r="V33" s="2594" t="str">
        <f>IF(TITLE_NUMBER_PR_CHANGE="",IF(TITLE_NUMBER_PR="","",TITLE_NUMBER_PR),TITLE_NUMBER_PR_CHANGE)</f>
        <v>440,503</v>
      </c>
      <c r="W33" s="2594"/>
      <c r="X33" s="2594"/>
      <c r="Y33" s="2594"/>
      <c r="Z33" s="2594"/>
      <c r="AA33" s="2594"/>
      <c r="AB33" s="2594"/>
      <c r="AC33" s="263"/>
      <c r="AD33" s="2594" t="str">
        <f>IF(TITLE_NUMBER_PR_CHANGE="",IF(TITLE_NUMBER_PR="","",TITLE_NUMBER_PR),TITLE_NUMBER_PR_CHANGE)</f>
        <v>440,503</v>
      </c>
      <c r="AE33" s="2594"/>
      <c r="AF33" s="2594"/>
      <c r="AG33" s="2594"/>
      <c r="AH33" s="2594"/>
      <c r="AI33" s="2594"/>
      <c r="AJ33" s="2594"/>
      <c r="AK33" s="2594"/>
      <c r="AL33" s="2594"/>
      <c r="AM33" s="2594"/>
      <c r="AN33" s="2594"/>
      <c r="AO33" s="2594"/>
      <c r="AP33" s="2594"/>
      <c r="AQ33" s="2594"/>
      <c r="AR33" s="2594"/>
      <c r="AS33" s="2594"/>
      <c r="AT33" s="2594"/>
      <c r="AU33" s="2594"/>
      <c r="AV33" s="2594"/>
      <c r="AW33" s="2594"/>
      <c r="AX33" s="2594"/>
      <c r="AY33" s="2594"/>
      <c r="AZ33" s="2594"/>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592" t="s">
        <v>44</v>
      </c>
      <c r="T34" s="2592"/>
      <c r="U34" s="1299"/>
      <c r="V34" s="2594" t="str">
        <f>IF(TITLE_IST_PUB_CHANGE="",IF(TITLE_IST_PUB="","",TITLE_IST_PUB),TITLE_IST_PUB_CHANGE)</f>
        <v>Региональная служба по тарифам Ростовской области</v>
      </c>
      <c r="W34" s="2594"/>
      <c r="X34" s="2594"/>
      <c r="Y34" s="2594"/>
      <c r="Z34" s="2594"/>
      <c r="AA34" s="2594"/>
      <c r="AB34" s="2594"/>
      <c r="AC34" s="263"/>
      <c r="AD34" s="2594" t="str">
        <f>IF(TITLE_IST_PUB_CHANGE="",IF(TITLE_IST_PUB="","",TITLE_IST_PUB),TITLE_IST_PUB_CHANGE)</f>
        <v>Региональная служба по тарифам Ростовской области</v>
      </c>
      <c r="AE34" s="2594"/>
      <c r="AF34" s="2594"/>
      <c r="AG34" s="2594"/>
      <c r="AH34" s="2594"/>
      <c r="AI34" s="2594"/>
      <c r="AJ34" s="2594"/>
      <c r="AK34" s="2594"/>
      <c r="AL34" s="2594"/>
      <c r="AM34" s="2594"/>
      <c r="AN34" s="2594"/>
      <c r="AO34" s="2594"/>
      <c r="AP34" s="2594"/>
      <c r="AQ34" s="2594"/>
      <c r="AR34" s="2594"/>
      <c r="AS34" s="2594"/>
      <c r="AT34" s="2594"/>
      <c r="AU34" s="2594"/>
      <c r="AV34" s="2594"/>
      <c r="AW34" s="2594"/>
      <c r="AX34" s="2594"/>
      <c r="AY34" s="2594"/>
      <c r="AZ34" s="259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592" t="s">
        <v>501</v>
      </c>
      <c r="T36" s="2592"/>
      <c r="U36" s="1299"/>
      <c r="V36" s="2593">
        <f>IF(TITLE_DATE_PR_CHANGE="",IF(TITLE_DATE_PR="","",TITLE_DATE_PR),TITLE_DATE_PR_CHANGE)</f>
        <v>45596.468541666669</v>
      </c>
      <c r="W36" s="2593"/>
      <c r="X36" s="2593"/>
      <c r="Y36" s="2593"/>
      <c r="Z36" s="2593"/>
      <c r="AA36" s="2593"/>
      <c r="AB36" s="2593"/>
      <c r="AC36" s="263"/>
      <c r="AD36" s="2593">
        <f>IF(TITLE_DATE_PR_CHANGE="",IF(TITLE_DATE_PR="","",TITLE_DATE_PR),TITLE_DATE_PR_CHANGE)</f>
        <v>45596.468541666669</v>
      </c>
      <c r="AE36" s="2593"/>
      <c r="AF36" s="2593"/>
      <c r="AG36" s="2593"/>
      <c r="AH36" s="2593"/>
      <c r="AI36" s="2593"/>
      <c r="AJ36" s="2593"/>
      <c r="AK36" s="2593"/>
      <c r="AL36" s="2593"/>
      <c r="AM36" s="2593"/>
      <c r="AN36" s="2593"/>
      <c r="AO36" s="2593"/>
      <c r="AP36" s="2593"/>
      <c r="AQ36" s="2593"/>
      <c r="AR36" s="2593"/>
      <c r="AS36" s="2593"/>
      <c r="AT36" s="2593"/>
      <c r="AU36" s="2593"/>
      <c r="AV36" s="2593"/>
      <c r="AW36" s="2593"/>
      <c r="AX36" s="2593"/>
      <c r="AY36" s="2593"/>
      <c r="AZ36" s="259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592" t="s">
        <v>502</v>
      </c>
      <c r="T37" s="2592"/>
      <c r="U37" s="1299"/>
      <c r="V37" s="2594" t="str">
        <f>IF(TITLE_NUMBER_PR_CHANGE="",IF(TITLE_NUMBER_PR="","",TITLE_NUMBER_PR),TITLE_NUMBER_PR_CHANGE)</f>
        <v>440,503</v>
      </c>
      <c r="W37" s="2594"/>
      <c r="X37" s="2594"/>
      <c r="Y37" s="2594"/>
      <c r="Z37" s="2594"/>
      <c r="AA37" s="2594"/>
      <c r="AB37" s="2594"/>
      <c r="AC37" s="263"/>
      <c r="AD37" s="2594" t="str">
        <f>IF(TITLE_NUMBER_PR_CHANGE="",IF(TITLE_NUMBER_PR="","",TITLE_NUMBER_PR),TITLE_NUMBER_PR_CHANGE)</f>
        <v>440,503</v>
      </c>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259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505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505</v>
      </c>
      <c r="BD38" s="305"/>
      <c r="BE38" s="305"/>
      <c r="BF38" s="305"/>
      <c r="BG38" s="305"/>
      <c r="BH38" s="305"/>
      <c r="BI38" s="355">
        <v>0</v>
      </c>
    </row>
    <row r="39" spans="1:61" ht="14.65" customHeight="1">
      <c r="Q39" s="228"/>
      <c r="R39" s="313"/>
      <c r="S39" s="1202"/>
      <c r="T39" s="300"/>
      <c r="U39" s="1171"/>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c r="BA39" s="2613"/>
      <c r="BI39" s="1082">
        <v>14</v>
      </c>
    </row>
    <row r="40" spans="1:61" ht="14.65" customHeight="1">
      <c r="Q40" s="228"/>
      <c r="R40" s="313"/>
      <c r="S40" s="2461" t="s">
        <v>380</v>
      </c>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c r="AS40" s="2461"/>
      <c r="AT40" s="2461"/>
      <c r="AU40" s="2461"/>
      <c r="AV40" s="2461"/>
      <c r="AW40" s="2461"/>
      <c r="AX40" s="2461"/>
      <c r="AY40" s="2461"/>
      <c r="AZ40" s="2461"/>
      <c r="BA40" s="2461"/>
      <c r="BB40" s="2461"/>
      <c r="BC40" s="2461" t="s">
        <v>381</v>
      </c>
      <c r="BI40" s="1082">
        <v>14</v>
      </c>
    </row>
    <row r="41" spans="1:61" ht="14.65" customHeight="1">
      <c r="Q41" s="228"/>
      <c r="R41" s="313"/>
      <c r="S41" s="2614" t="s">
        <v>88</v>
      </c>
      <c r="T41" s="2563" t="s">
        <v>586</v>
      </c>
      <c r="U41" s="238"/>
      <c r="V41" s="2615" t="s">
        <v>507</v>
      </c>
      <c r="W41" s="2616"/>
      <c r="X41" s="2616"/>
      <c r="Y41" s="2616"/>
      <c r="Z41" s="2616"/>
      <c r="AA41" s="2616"/>
      <c r="AB41" s="2617"/>
      <c r="AC41" s="2618" t="s">
        <v>508</v>
      </c>
      <c r="AD41" s="2647" t="s">
        <v>587</v>
      </c>
      <c r="AE41" s="2631"/>
      <c r="AF41" s="2631"/>
      <c r="AG41" s="2648"/>
      <c r="AH41" s="2647" t="s">
        <v>588</v>
      </c>
      <c r="AI41" s="2631"/>
      <c r="AJ41" s="2631"/>
      <c r="AK41" s="2648"/>
      <c r="AL41" s="2647" t="s">
        <v>589</v>
      </c>
      <c r="AM41" s="2631"/>
      <c r="AN41" s="2631"/>
      <c r="AO41" s="2648"/>
      <c r="AP41" s="2647" t="s">
        <v>590</v>
      </c>
      <c r="AQ41" s="2631"/>
      <c r="AR41" s="2631"/>
      <c r="AS41" s="2648"/>
      <c r="AT41" s="2615" t="s">
        <v>507</v>
      </c>
      <c r="AU41" s="2616"/>
      <c r="AV41" s="2616"/>
      <c r="AW41" s="2616"/>
      <c r="AX41" s="2616"/>
      <c r="AY41" s="2616"/>
      <c r="AZ41" s="2617"/>
      <c r="BA41" s="2618" t="s">
        <v>508</v>
      </c>
      <c r="BB41" s="2621" t="s">
        <v>510</v>
      </c>
      <c r="BC41" s="2461"/>
      <c r="BI41" s="1082">
        <v>14</v>
      </c>
    </row>
    <row r="42" spans="1:61" ht="35.65" customHeight="1">
      <c r="Q42" s="228"/>
      <c r="R42" s="313"/>
      <c r="S42" s="2614"/>
      <c r="T42" s="2563"/>
      <c r="U42" s="961"/>
      <c r="V42" s="2536" t="s">
        <v>591</v>
      </c>
      <c r="W42" s="2537"/>
      <c r="X42" s="2536" t="s">
        <v>592</v>
      </c>
      <c r="Y42" s="2537"/>
      <c r="Z42" s="2536" t="s">
        <v>593</v>
      </c>
      <c r="AA42" s="2643"/>
      <c r="AB42" s="2537"/>
      <c r="AC42" s="2619"/>
      <c r="AD42" s="2649"/>
      <c r="AE42" s="2650"/>
      <c r="AF42" s="2650"/>
      <c r="AG42" s="2662"/>
      <c r="AH42" s="2649"/>
      <c r="AI42" s="2650"/>
      <c r="AJ42" s="2650"/>
      <c r="AK42" s="2662"/>
      <c r="AL42" s="2649"/>
      <c r="AM42" s="2650"/>
      <c r="AN42" s="2650"/>
      <c r="AO42" s="2662"/>
      <c r="AP42" s="2649"/>
      <c r="AQ42" s="2650"/>
      <c r="AR42" s="2650"/>
      <c r="AS42" s="2662"/>
      <c r="AT42" s="2536" t="s">
        <v>591</v>
      </c>
      <c r="AU42" s="2537"/>
      <c r="AV42" s="2536" t="s">
        <v>592</v>
      </c>
      <c r="AW42" s="2537"/>
      <c r="AX42" s="2536" t="s">
        <v>593</v>
      </c>
      <c r="AY42" s="2643"/>
      <c r="AZ42" s="2537"/>
      <c r="BA42" s="2619"/>
      <c r="BB42" s="2622"/>
      <c r="BC42" s="2461"/>
      <c r="BI42" s="1082">
        <v>34</v>
      </c>
    </row>
    <row r="43" spans="1:61" ht="14.65" customHeight="1">
      <c r="Q43" s="228"/>
      <c r="R43" s="313"/>
      <c r="S43" s="2614"/>
      <c r="T43" s="2563"/>
      <c r="U43" s="961"/>
      <c r="V43" s="2541"/>
      <c r="W43" s="2542"/>
      <c r="X43" s="2541"/>
      <c r="Y43" s="2542"/>
      <c r="Z43" s="2541"/>
      <c r="AA43" s="2644"/>
      <c r="AB43" s="2542"/>
      <c r="AC43" s="2619"/>
      <c r="AD43" s="2649"/>
      <c r="AE43" s="2650"/>
      <c r="AF43" s="2650"/>
      <c r="AG43" s="2662"/>
      <c r="AH43" s="2649"/>
      <c r="AI43" s="2650"/>
      <c r="AJ43" s="2650"/>
      <c r="AK43" s="2662"/>
      <c r="AL43" s="2649"/>
      <c r="AM43" s="2650"/>
      <c r="AN43" s="2650"/>
      <c r="AO43" s="2662"/>
      <c r="AP43" s="2649"/>
      <c r="AQ43" s="2650"/>
      <c r="AR43" s="2650"/>
      <c r="AS43" s="2662"/>
      <c r="AT43" s="2541"/>
      <c r="AU43" s="2542"/>
      <c r="AV43" s="2541"/>
      <c r="AW43" s="2542"/>
      <c r="AX43" s="2541"/>
      <c r="AY43" s="2644"/>
      <c r="AZ43" s="2542"/>
      <c r="BA43" s="2619"/>
      <c r="BB43" s="2622"/>
      <c r="BC43" s="2461"/>
      <c r="BI43" s="1082">
        <v>14</v>
      </c>
    </row>
    <row r="44" spans="1:61" ht="14.65" customHeight="1">
      <c r="A44" s="1297"/>
      <c r="B44" s="1297" t="s">
        <v>201</v>
      </c>
      <c r="C44" s="1297" t="s">
        <v>202</v>
      </c>
      <c r="D44" s="1297" t="s">
        <v>203</v>
      </c>
      <c r="E44" s="1291" t="s">
        <v>515</v>
      </c>
      <c r="F44" s="1291" t="s">
        <v>516</v>
      </c>
      <c r="G44" s="1291" t="s">
        <v>517</v>
      </c>
      <c r="H44" s="1291" t="s">
        <v>518</v>
      </c>
      <c r="I44" s="1291" t="s">
        <v>519</v>
      </c>
      <c r="J44" s="1291" t="s">
        <v>520</v>
      </c>
      <c r="K44" s="1291" t="s">
        <v>521</v>
      </c>
      <c r="L44" s="1291" t="s">
        <v>496</v>
      </c>
      <c r="Q44" s="228"/>
      <c r="R44" s="313"/>
      <c r="S44" s="2614"/>
      <c r="T44" s="2563"/>
      <c r="U44" s="239"/>
      <c r="V44" s="1406" t="s">
        <v>555</v>
      </c>
      <c r="W44" s="1406" t="s">
        <v>556</v>
      </c>
      <c r="X44" s="1406" t="s">
        <v>555</v>
      </c>
      <c r="Y44" s="1406" t="s">
        <v>556</v>
      </c>
      <c r="Z44" s="1416" t="s">
        <v>524</v>
      </c>
      <c r="AA44" s="2568" t="s">
        <v>525</v>
      </c>
      <c r="AB44" s="2581"/>
      <c r="AC44" s="2620"/>
      <c r="AD44" s="2651"/>
      <c r="AE44" s="2652"/>
      <c r="AF44" s="2652"/>
      <c r="AG44" s="2653"/>
      <c r="AH44" s="2651"/>
      <c r="AI44" s="2652"/>
      <c r="AJ44" s="2652"/>
      <c r="AK44" s="2653"/>
      <c r="AL44" s="2651"/>
      <c r="AM44" s="2652"/>
      <c r="AN44" s="2652"/>
      <c r="AO44" s="2653"/>
      <c r="AP44" s="2651"/>
      <c r="AQ44" s="2652"/>
      <c r="AR44" s="2652"/>
      <c r="AS44" s="2653"/>
      <c r="AT44" s="1406" t="s">
        <v>555</v>
      </c>
      <c r="AU44" s="1406" t="s">
        <v>556</v>
      </c>
      <c r="AV44" s="1406" t="s">
        <v>555</v>
      </c>
      <c r="AW44" s="1406" t="s">
        <v>556</v>
      </c>
      <c r="AX44" s="1416" t="s">
        <v>524</v>
      </c>
      <c r="AY44" s="2568" t="s">
        <v>525</v>
      </c>
      <c r="AZ44" s="2581"/>
      <c r="BA44" s="2620"/>
      <c r="BB44" s="2623"/>
      <c r="BC44" s="246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177</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612">
        <f t="shared" ca="1" si="2"/>
        <v>8</v>
      </c>
      <c r="AB45" s="261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612">
        <f ca="1">OFFSET(AY45,0,-1)+1</f>
        <v>3</v>
      </c>
      <c r="AZ45" s="2612"/>
      <c r="BA45" s="1409">
        <f ca="1">OFFSET(BA45,0,-2)+1</f>
        <v>4</v>
      </c>
      <c r="BB45" s="1172">
        <f ca="1">OFFSET(BB45,0,-1)</f>
        <v>4</v>
      </c>
      <c r="BC45" s="1409">
        <f ca="1">OFFSET(BC45,0,-1)+1</f>
        <v>5</v>
      </c>
      <c r="BD45" s="448"/>
      <c r="BE45" s="448"/>
      <c r="BF45" s="448"/>
      <c r="BG45" s="448"/>
      <c r="BH45" s="448"/>
      <c r="BI45" s="433">
        <v>0</v>
      </c>
    </row>
    <row r="46" spans="1:61" ht="21.95" customHeight="1">
      <c r="A46" s="1290" t="s">
        <v>341</v>
      </c>
      <c r="B46" s="1290"/>
      <c r="C46" s="1290"/>
      <c r="D46" s="1290"/>
      <c r="E46" s="260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189</v>
      </c>
      <c r="U46" s="237"/>
      <c r="V46" s="2596"/>
      <c r="W46" s="2596"/>
      <c r="X46" s="2596"/>
      <c r="Y46" s="2596"/>
      <c r="Z46" s="2596"/>
      <c r="AA46" s="2596"/>
      <c r="AB46" s="2596"/>
      <c r="AC46" s="2597"/>
      <c r="AD46" s="2595" t="str">
        <f>INDEX(PT_DIFFERENTIATION_NTAR,MATCH(A46,PT_DIFFERENTIATION_NTAR_ID,0))</f>
        <v/>
      </c>
      <c r="AE46" s="2596"/>
      <c r="AF46" s="2596"/>
      <c r="AG46" s="2596"/>
      <c r="AH46" s="2596"/>
      <c r="AI46" s="2596"/>
      <c r="AJ46" s="2596"/>
      <c r="AK46" s="2596"/>
      <c r="AL46" s="2596"/>
      <c r="AM46" s="2596"/>
      <c r="AN46" s="2596"/>
      <c r="AO46" s="2596"/>
      <c r="AP46" s="2596"/>
      <c r="AQ46" s="2596"/>
      <c r="AR46" s="2596"/>
      <c r="AS46" s="2596"/>
      <c r="AT46" s="2596"/>
      <c r="AU46" s="2596"/>
      <c r="AV46" s="2596"/>
      <c r="AW46" s="2596"/>
      <c r="AX46" s="2596"/>
      <c r="AY46" s="2596"/>
      <c r="AZ46" s="2596"/>
      <c r="BA46" s="2596"/>
      <c r="BB46" s="259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341</v>
      </c>
      <c r="B47" s="1290" t="s">
        <v>342</v>
      </c>
      <c r="C47" s="1290"/>
      <c r="D47" s="1290"/>
      <c r="E47" s="2602"/>
      <c r="F47" s="2601">
        <v>1</v>
      </c>
      <c r="G47" s="1290"/>
      <c r="H47" s="1290"/>
      <c r="I47" s="1290"/>
      <c r="J47" s="1290"/>
      <c r="K47" s="1290"/>
      <c r="L47" s="1291"/>
      <c r="M47" s="1292"/>
      <c r="N47" s="1292"/>
      <c r="O47" s="1292"/>
      <c r="P47" s="1337"/>
      <c r="Q47" s="1338"/>
      <c r="R47" s="290"/>
      <c r="S47" s="1420" t="str">
        <f>INDEX(PT_DIFFERENTIATION_NUM_TER,MATCH(B47,PT_DIFFERENTIATION_TER_ID,0))</f>
        <v>.</v>
      </c>
      <c r="T47" s="245" t="s">
        <v>477</v>
      </c>
      <c r="U47" s="237"/>
      <c r="V47" s="2596"/>
      <c r="W47" s="2596"/>
      <c r="X47" s="2596"/>
      <c r="Y47" s="2596"/>
      <c r="Z47" s="2596"/>
      <c r="AA47" s="2596"/>
      <c r="AB47" s="2596"/>
      <c r="AC47" s="2597"/>
      <c r="AD47" s="2595" t="str">
        <f>INDEX(PT_DIFFERENTIATION_TER,MATCH(B47,PT_DIFFERENTIATION_TER_ID,0))</f>
        <v/>
      </c>
      <c r="AE47" s="2596"/>
      <c r="AF47" s="2596"/>
      <c r="AG47" s="2596"/>
      <c r="AH47" s="2596"/>
      <c r="AI47" s="2596"/>
      <c r="AJ47" s="2596"/>
      <c r="AK47" s="2596"/>
      <c r="AL47" s="2596"/>
      <c r="AM47" s="2596"/>
      <c r="AN47" s="2596"/>
      <c r="AO47" s="2596"/>
      <c r="AP47" s="2596"/>
      <c r="AQ47" s="2596"/>
      <c r="AR47" s="2596"/>
      <c r="AS47" s="2596"/>
      <c r="AT47" s="2596"/>
      <c r="AU47" s="2596"/>
      <c r="AV47" s="2596"/>
      <c r="AW47" s="2596"/>
      <c r="AX47" s="2596"/>
      <c r="AY47" s="2596"/>
      <c r="AZ47" s="2596"/>
      <c r="BA47" s="2596"/>
      <c r="BB47" s="2597"/>
      <c r="BC47" s="1185" t="s">
        <v>478</v>
      </c>
      <c r="BE47" s="437"/>
      <c r="BF47" s="437" t="str">
        <f t="shared" si="3"/>
        <v>Территория действия тарифа</v>
      </c>
      <c r="BG47" s="437"/>
      <c r="BH47" s="437"/>
      <c r="BI47" s="1082">
        <v>21</v>
      </c>
    </row>
    <row r="48" spans="1:61" ht="35.65" customHeight="1">
      <c r="A48" s="1290" t="s">
        <v>341</v>
      </c>
      <c r="B48" s="1290" t="s">
        <v>342</v>
      </c>
      <c r="C48" s="1290" t="s">
        <v>343</v>
      </c>
      <c r="D48" s="1290"/>
      <c r="E48" s="2602"/>
      <c r="F48" s="2602"/>
      <c r="G48" s="2601">
        <v>1</v>
      </c>
      <c r="H48" s="1290"/>
      <c r="I48" s="1290"/>
      <c r="J48" s="1290"/>
      <c r="K48" s="1290"/>
      <c r="L48" s="1291"/>
      <c r="M48" s="1292"/>
      <c r="N48" s="1292"/>
      <c r="O48" s="1292"/>
      <c r="P48" s="1339"/>
      <c r="Q48" s="1338"/>
      <c r="R48" s="290"/>
      <c r="S48" s="1420" t="str">
        <f>INDEX(PT_DIFFERENTIATION_NUM_CS,MATCH(C48,PT_DIFFERENTIATION_CS_ID,0))</f>
        <v>..</v>
      </c>
      <c r="T48" s="246" t="s">
        <v>609</v>
      </c>
      <c r="U48" s="237"/>
      <c r="V48" s="2596"/>
      <c r="W48" s="2596"/>
      <c r="X48" s="2596"/>
      <c r="Y48" s="2596"/>
      <c r="Z48" s="2596"/>
      <c r="AA48" s="2596"/>
      <c r="AB48" s="2596"/>
      <c r="AC48" s="2597"/>
      <c r="AD48" s="2595" t="str">
        <f>INDEX(PT_DIFFERENTIATION_CS,MATCH(C48,PT_DIFFERENTIATION_CS_ID,0))</f>
        <v/>
      </c>
      <c r="AE48" s="2596"/>
      <c r="AF48" s="2596"/>
      <c r="AG48" s="2596"/>
      <c r="AH48" s="2596"/>
      <c r="AI48" s="2596"/>
      <c r="AJ48" s="2596"/>
      <c r="AK48" s="2596"/>
      <c r="AL48" s="2596"/>
      <c r="AM48" s="2596"/>
      <c r="AN48" s="2596"/>
      <c r="AO48" s="2596"/>
      <c r="AP48" s="2596"/>
      <c r="AQ48" s="2596"/>
      <c r="AR48" s="2596"/>
      <c r="AS48" s="2596"/>
      <c r="AT48" s="2596"/>
      <c r="AU48" s="2596"/>
      <c r="AV48" s="2596"/>
      <c r="AW48" s="2596"/>
      <c r="AX48" s="2596"/>
      <c r="AY48" s="2596"/>
      <c r="AZ48" s="2596"/>
      <c r="BA48" s="2596"/>
      <c r="BB48" s="2597"/>
      <c r="BC48" s="1185" t="s">
        <v>610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341</v>
      </c>
      <c r="B49" s="1270" t="s">
        <v>342</v>
      </c>
      <c r="C49" s="1270" t="s">
        <v>343</v>
      </c>
      <c r="D49" s="1270" t="s">
        <v>623</v>
      </c>
      <c r="E49" s="2602"/>
      <c r="F49" s="2602"/>
      <c r="G49" s="2602"/>
      <c r="H49" s="2601">
        <v>1</v>
      </c>
      <c r="I49" s="1270"/>
      <c r="J49" s="1270"/>
      <c r="K49" s="1270"/>
      <c r="L49" s="1273"/>
      <c r="M49" s="1242"/>
      <c r="N49" s="1242"/>
      <c r="O49" s="1242"/>
      <c r="P49" s="1424"/>
      <c r="Q49" s="1425"/>
      <c r="R49" s="294"/>
      <c r="S49" s="972"/>
      <c r="T49" s="1426"/>
      <c r="U49" s="1311"/>
      <c r="V49" s="2633"/>
      <c r="W49" s="2633"/>
      <c r="X49" s="2633"/>
      <c r="Y49" s="2633"/>
      <c r="Z49" s="2633"/>
      <c r="AA49" s="2633"/>
      <c r="AB49" s="2633"/>
      <c r="AC49" s="2634"/>
      <c r="AD49" s="2632"/>
      <c r="AE49" s="2633"/>
      <c r="AF49" s="2633"/>
      <c r="AG49" s="2633"/>
      <c r="AH49" s="2633"/>
      <c r="AI49" s="2633"/>
      <c r="AJ49" s="2633"/>
      <c r="AK49" s="2633"/>
      <c r="AL49" s="2633"/>
      <c r="AM49" s="2633"/>
      <c r="AN49" s="2633"/>
      <c r="AO49" s="2633"/>
      <c r="AP49" s="2633"/>
      <c r="AQ49" s="2633"/>
      <c r="AR49" s="2633"/>
      <c r="AS49" s="2633"/>
      <c r="AT49" s="2633"/>
      <c r="AU49" s="2633"/>
      <c r="AV49" s="2633"/>
      <c r="AW49" s="2633"/>
      <c r="AX49" s="2633"/>
      <c r="AY49" s="2633"/>
      <c r="AZ49" s="2633"/>
      <c r="BA49" s="2633"/>
      <c r="BB49" s="2634"/>
      <c r="BC49" s="1312" t="s">
        <v>482</v>
      </c>
      <c r="BE49" s="437"/>
      <c r="BF49" s="437" t="str">
        <f t="shared" si="3"/>
        <v/>
      </c>
      <c r="BG49" s="437"/>
      <c r="BH49" s="437"/>
      <c r="BI49" s="448">
        <v>0</v>
      </c>
    </row>
    <row r="50" spans="1:61" s="1569" customFormat="1" ht="0" hidden="1" customHeight="1">
      <c r="A50" s="1270" t="s">
        <v>341</v>
      </c>
      <c r="B50" s="1270" t="s">
        <v>342</v>
      </c>
      <c r="C50" s="1270" t="s">
        <v>343</v>
      </c>
      <c r="D50" s="1270" t="s">
        <v>623</v>
      </c>
      <c r="E50" s="2602"/>
      <c r="F50" s="2602"/>
      <c r="G50" s="2602"/>
      <c r="H50" s="2602"/>
      <c r="I50" s="2603" t="str">
        <f>S49&amp;".1"</f>
        <v>.1</v>
      </c>
      <c r="J50" s="1270"/>
      <c r="K50" s="1270"/>
      <c r="L50" s="1273" t="s">
        <v>483</v>
      </c>
      <c r="M50" s="447"/>
      <c r="N50" s="447"/>
      <c r="O50" s="447"/>
      <c r="P50" s="2605">
        <v>1</v>
      </c>
      <c r="Q50" s="1408"/>
      <c r="R50" s="293"/>
      <c r="S50" s="972"/>
      <c r="T50" s="1310"/>
      <c r="U50" s="1311"/>
      <c r="V50" s="2633"/>
      <c r="W50" s="2633"/>
      <c r="X50" s="2633"/>
      <c r="Y50" s="2633"/>
      <c r="Z50" s="2633"/>
      <c r="AA50" s="2633"/>
      <c r="AB50" s="2633"/>
      <c r="AC50" s="2634"/>
      <c r="AD50" s="2632"/>
      <c r="AE50" s="2633"/>
      <c r="AF50" s="2633"/>
      <c r="AG50" s="2633"/>
      <c r="AH50" s="2633"/>
      <c r="AI50" s="2633"/>
      <c r="AJ50" s="2633"/>
      <c r="AK50" s="2633"/>
      <c r="AL50" s="2633"/>
      <c r="AM50" s="2633"/>
      <c r="AN50" s="2633"/>
      <c r="AO50" s="2633"/>
      <c r="AP50" s="2633"/>
      <c r="AQ50" s="2633"/>
      <c r="AR50" s="2633"/>
      <c r="AS50" s="2633"/>
      <c r="AT50" s="2633"/>
      <c r="AU50" s="2633"/>
      <c r="AV50" s="2633"/>
      <c r="AW50" s="2633"/>
      <c r="AX50" s="2633"/>
      <c r="AY50" s="2633"/>
      <c r="AZ50" s="2633"/>
      <c r="BA50" s="2633"/>
      <c r="BB50" s="2634"/>
      <c r="BC50" s="1312"/>
      <c r="BE50" s="437"/>
      <c r="BF50" s="437" t="str">
        <f t="shared" si="3"/>
        <v/>
      </c>
      <c r="BG50" s="437"/>
      <c r="BH50" s="437"/>
      <c r="BI50" s="448">
        <v>0</v>
      </c>
    </row>
    <row r="51" spans="1:61" s="1569" customFormat="1" ht="0" hidden="1" customHeight="1">
      <c r="A51" s="1270" t="s">
        <v>341</v>
      </c>
      <c r="B51" s="1270" t="s">
        <v>342</v>
      </c>
      <c r="C51" s="1270" t="s">
        <v>343</v>
      </c>
      <c r="D51" s="1270" t="s">
        <v>623</v>
      </c>
      <c r="E51" s="2602"/>
      <c r="F51" s="2602"/>
      <c r="G51" s="2602"/>
      <c r="H51" s="2602"/>
      <c r="I51" s="2604"/>
      <c r="J51" s="2603" t="str">
        <f>S49&amp;".1"</f>
        <v>.1</v>
      </c>
      <c r="K51" s="1270"/>
      <c r="L51" s="1273"/>
      <c r="M51" s="447"/>
      <c r="N51" s="447"/>
      <c r="O51" s="447"/>
      <c r="P51" s="2605"/>
      <c r="Q51" s="2605">
        <v>1</v>
      </c>
      <c r="R51" s="294"/>
      <c r="S51" s="972"/>
      <c r="T51" s="1326"/>
      <c r="U51" s="1311"/>
      <c r="V51" s="2633"/>
      <c r="W51" s="2633"/>
      <c r="X51" s="2633"/>
      <c r="Y51" s="2633"/>
      <c r="Z51" s="2633"/>
      <c r="AA51" s="2633"/>
      <c r="AB51" s="2633"/>
      <c r="AC51" s="2634"/>
      <c r="AD51" s="2632"/>
      <c r="AE51" s="2633"/>
      <c r="AF51" s="2633"/>
      <c r="AG51" s="2633"/>
      <c r="AH51" s="2633"/>
      <c r="AI51" s="2633"/>
      <c r="AJ51" s="2633"/>
      <c r="AK51" s="2633"/>
      <c r="AL51" s="2633"/>
      <c r="AM51" s="2633"/>
      <c r="AN51" s="2684"/>
      <c r="AO51" s="2684"/>
      <c r="AP51" s="2633"/>
      <c r="AQ51" s="2633"/>
      <c r="AR51" s="2633"/>
      <c r="AS51" s="2633"/>
      <c r="AT51" s="2633"/>
      <c r="AU51" s="2633"/>
      <c r="AV51" s="2633"/>
      <c r="AW51" s="2633"/>
      <c r="AX51" s="2633"/>
      <c r="AY51" s="2633"/>
      <c r="AZ51" s="2633"/>
      <c r="BA51" s="2633"/>
      <c r="BB51" s="2634"/>
      <c r="BC51" s="1312"/>
      <c r="BE51" s="437"/>
      <c r="BF51" s="437" t="str">
        <f t="shared" si="3"/>
        <v/>
      </c>
      <c r="BG51" s="437"/>
      <c r="BH51" s="437"/>
      <c r="BI51" s="448">
        <v>0</v>
      </c>
    </row>
    <row r="52" spans="1:61" ht="11.45" customHeight="1">
      <c r="A52" s="1290" t="s">
        <v>341</v>
      </c>
      <c r="B52" s="1290" t="s">
        <v>342</v>
      </c>
      <c r="C52" s="1290" t="s">
        <v>343</v>
      </c>
      <c r="D52" s="1290" t="s">
        <v>623</v>
      </c>
      <c r="E52" s="2602"/>
      <c r="F52" s="2602"/>
      <c r="G52" s="2602"/>
      <c r="H52" s="2602"/>
      <c r="I52" s="2604"/>
      <c r="J52" s="2604"/>
      <c r="K52" s="2603" t="str">
        <f>S48&amp;".1"</f>
        <v>...1</v>
      </c>
      <c r="L52" s="1291"/>
      <c r="P52" s="2605"/>
      <c r="Q52" s="2605"/>
      <c r="R52" s="294">
        <v>1</v>
      </c>
      <c r="S52" s="2658" t="str">
        <f>$K52</f>
        <v>...1</v>
      </c>
      <c r="T52" s="2678"/>
      <c r="U52" s="237"/>
      <c r="V52" s="688"/>
      <c r="W52" s="1184"/>
      <c r="X52" s="688"/>
      <c r="Y52" s="1184"/>
      <c r="Z52" s="1661"/>
      <c r="AA52" s="1396" t="s">
        <v>66</v>
      </c>
      <c r="AB52" s="1661"/>
      <c r="AC52" s="1396" t="s">
        <v>66</v>
      </c>
      <c r="AD52" s="2531" t="s">
        <v>66</v>
      </c>
      <c r="AE52" s="2654"/>
      <c r="AF52" s="2559">
        <v>1</v>
      </c>
      <c r="AG52" s="2677"/>
      <c r="AH52" s="2471" t="s">
        <v>66</v>
      </c>
      <c r="AI52" s="2654"/>
      <c r="AJ52" s="2559">
        <v>1</v>
      </c>
      <c r="AK52" s="2668" t="s">
        <v>28</v>
      </c>
      <c r="AL52" s="2471" t="s">
        <v>66</v>
      </c>
      <c r="AM52" s="2536"/>
      <c r="AN52" s="2559">
        <v>1</v>
      </c>
      <c r="AO52" s="2681"/>
      <c r="AP52" s="2682" t="s">
        <v>66</v>
      </c>
      <c r="AQ52" s="248"/>
      <c r="AR52" s="1413">
        <v>1</v>
      </c>
      <c r="AS52" s="1419" t="s">
        <v>28</v>
      </c>
      <c r="AT52" s="688"/>
      <c r="AU52" s="1184"/>
      <c r="AV52" s="688"/>
      <c r="AW52" s="1184"/>
      <c r="AX52" s="1661"/>
      <c r="AY52" s="1396" t="s">
        <v>66</v>
      </c>
      <c r="AZ52" s="1661"/>
      <c r="BA52" s="1396" t="s">
        <v>66</v>
      </c>
      <c r="BB52" s="1275"/>
      <c r="BC52" s="2624" t="s">
        <v>580</v>
      </c>
      <c r="BE52" s="437"/>
      <c r="BF52" s="437" t="str">
        <f t="shared" si="3"/>
        <v/>
      </c>
      <c r="BG52" s="437"/>
      <c r="BH52" s="437"/>
      <c r="BI52" s="1082">
        <v>11</v>
      </c>
    </row>
    <row r="53" spans="1:61" ht="11.45" customHeight="1">
      <c r="A53" s="1290"/>
      <c r="B53" s="1290"/>
      <c r="C53" s="1290"/>
      <c r="D53" s="1290"/>
      <c r="E53" s="2602"/>
      <c r="F53" s="2602"/>
      <c r="G53" s="2602"/>
      <c r="H53" s="2602"/>
      <c r="I53" s="2604"/>
      <c r="J53" s="2604"/>
      <c r="K53" s="2603"/>
      <c r="L53" s="1291"/>
      <c r="P53" s="2605"/>
      <c r="Q53" s="2605"/>
      <c r="R53" s="294"/>
      <c r="S53" s="2659"/>
      <c r="T53" s="2679"/>
      <c r="U53" s="237"/>
      <c r="V53" s="1320"/>
      <c r="W53" s="1423"/>
      <c r="X53" s="1320"/>
      <c r="Y53" s="1423"/>
      <c r="Z53" s="1320"/>
      <c r="AA53" s="1320"/>
      <c r="AB53" s="1320"/>
      <c r="AC53" s="1320"/>
      <c r="AD53" s="2532"/>
      <c r="AE53" s="2654"/>
      <c r="AF53" s="2559"/>
      <c r="AG53" s="2677"/>
      <c r="AH53" s="2471"/>
      <c r="AI53" s="2654"/>
      <c r="AJ53" s="2559"/>
      <c r="AK53" s="2668"/>
      <c r="AL53" s="2471"/>
      <c r="AM53" s="2541"/>
      <c r="AN53" s="2559"/>
      <c r="AO53" s="2681"/>
      <c r="AP53" s="2683"/>
      <c r="AQ53" s="253"/>
      <c r="AR53" s="353"/>
      <c r="AS53" s="353" t="s">
        <v>581</v>
      </c>
      <c r="AT53" s="1320"/>
      <c r="AU53" s="1423"/>
      <c r="AV53" s="1320"/>
      <c r="AW53" s="1423"/>
      <c r="AX53" s="1320"/>
      <c r="AY53" s="1320"/>
      <c r="AZ53" s="1320"/>
      <c r="BA53" s="1320"/>
      <c r="BB53" s="1324"/>
      <c r="BC53" s="2625"/>
      <c r="BE53" s="437"/>
      <c r="BF53" s="437"/>
      <c r="BG53" s="437"/>
      <c r="BH53" s="437"/>
      <c r="BI53" s="1082">
        <v>11</v>
      </c>
    </row>
    <row r="54" spans="1:61" ht="11.45" customHeight="1">
      <c r="A54" s="1290" t="s">
        <v>341</v>
      </c>
      <c r="B54" s="1290"/>
      <c r="C54" s="1290"/>
      <c r="D54" s="1290"/>
      <c r="E54" s="2602"/>
      <c r="F54" s="2602"/>
      <c r="G54" s="2602"/>
      <c r="H54" s="2602"/>
      <c r="I54" s="2604"/>
      <c r="J54" s="2604"/>
      <c r="K54" s="2603"/>
      <c r="L54" s="1291"/>
      <c r="P54" s="2605"/>
      <c r="Q54" s="2605"/>
      <c r="R54" s="294"/>
      <c r="S54" s="2659"/>
      <c r="T54" s="2679"/>
      <c r="U54" s="237"/>
      <c r="V54" s="1320"/>
      <c r="W54" s="1423"/>
      <c r="X54" s="1320"/>
      <c r="Y54" s="1423"/>
      <c r="Z54" s="1320"/>
      <c r="AA54" s="1320"/>
      <c r="AB54" s="1320"/>
      <c r="AC54" s="1320"/>
      <c r="AD54" s="2532"/>
      <c r="AE54" s="2654"/>
      <c r="AF54" s="2559"/>
      <c r="AG54" s="2677"/>
      <c r="AH54" s="2471"/>
      <c r="AI54" s="2654"/>
      <c r="AJ54" s="2559"/>
      <c r="AK54" s="2668"/>
      <c r="AL54" s="2471"/>
      <c r="AM54" s="253"/>
      <c r="AN54" s="1427"/>
      <c r="AO54" s="1427" t="s">
        <v>582</v>
      </c>
      <c r="AP54" s="353"/>
      <c r="AQ54" s="353"/>
      <c r="AR54" s="353"/>
      <c r="AS54" s="1320"/>
      <c r="AT54" s="1320"/>
      <c r="AU54" s="1423"/>
      <c r="AV54" s="1320"/>
      <c r="AW54" s="1423"/>
      <c r="AX54" s="1320"/>
      <c r="AY54" s="1320"/>
      <c r="AZ54" s="1320"/>
      <c r="BA54" s="1320"/>
      <c r="BB54" s="1324"/>
      <c r="BC54" s="2625"/>
      <c r="BE54" s="437"/>
      <c r="BF54" s="437"/>
      <c r="BG54" s="437"/>
      <c r="BH54" s="437"/>
      <c r="BI54" s="1082">
        <v>11</v>
      </c>
    </row>
    <row r="55" spans="1:61" ht="11.45" customHeight="1">
      <c r="A55" s="1290" t="s">
        <v>341</v>
      </c>
      <c r="B55" s="1290"/>
      <c r="C55" s="1290"/>
      <c r="D55" s="1290"/>
      <c r="E55" s="2602"/>
      <c r="F55" s="2602"/>
      <c r="G55" s="2602"/>
      <c r="H55" s="2602"/>
      <c r="I55" s="2604"/>
      <c r="J55" s="2604"/>
      <c r="K55" s="2603"/>
      <c r="L55" s="1291"/>
      <c r="P55" s="2605"/>
      <c r="Q55" s="2605"/>
      <c r="R55" s="294"/>
      <c r="S55" s="2659"/>
      <c r="T55" s="2679"/>
      <c r="U55" s="237"/>
      <c r="V55" s="1320"/>
      <c r="W55" s="1423"/>
      <c r="X55" s="1320"/>
      <c r="Y55" s="1423"/>
      <c r="Z55" s="1320"/>
      <c r="AA55" s="1320"/>
      <c r="AB55" s="1320"/>
      <c r="AC55" s="1320"/>
      <c r="AD55" s="2532"/>
      <c r="AE55" s="2654"/>
      <c r="AF55" s="2559"/>
      <c r="AG55" s="2677"/>
      <c r="AH55" s="2471"/>
      <c r="AI55" s="231"/>
      <c r="AJ55" s="352"/>
      <c r="AK55" s="250" t="s">
        <v>583</v>
      </c>
      <c r="AL55" s="1320"/>
      <c r="AM55" s="1320"/>
      <c r="AN55" s="1320"/>
      <c r="AO55" s="1320"/>
      <c r="AP55" s="1320"/>
      <c r="AQ55" s="1320"/>
      <c r="AR55" s="1320"/>
      <c r="AS55" s="1320"/>
      <c r="AT55" s="1320"/>
      <c r="AU55" s="1423"/>
      <c r="AV55" s="1320"/>
      <c r="AW55" s="1423"/>
      <c r="AX55" s="1320"/>
      <c r="AY55" s="1320"/>
      <c r="AZ55" s="1320"/>
      <c r="BA55" s="1320"/>
      <c r="BB55" s="1324"/>
      <c r="BC55" s="2625"/>
      <c r="BE55" s="437"/>
      <c r="BF55" s="437"/>
      <c r="BG55" s="437"/>
      <c r="BH55" s="437"/>
      <c r="BI55" s="1082">
        <v>11</v>
      </c>
    </row>
    <row r="56" spans="1:61" ht="11.45" customHeight="1">
      <c r="A56" s="1290" t="s">
        <v>341</v>
      </c>
      <c r="B56" s="1290" t="s">
        <v>342</v>
      </c>
      <c r="C56" s="1290" t="s">
        <v>343</v>
      </c>
      <c r="D56" s="1290" t="s">
        <v>623</v>
      </c>
      <c r="E56" s="2602"/>
      <c r="F56" s="2602"/>
      <c r="G56" s="2602"/>
      <c r="H56" s="2602"/>
      <c r="I56" s="2604"/>
      <c r="J56" s="2604"/>
      <c r="K56" s="2603"/>
      <c r="L56" s="1291"/>
      <c r="P56" s="2605"/>
      <c r="Q56" s="2605"/>
      <c r="R56" s="294"/>
      <c r="S56" s="2660"/>
      <c r="T56" s="2680"/>
      <c r="U56" s="237"/>
      <c r="V56" s="1320"/>
      <c r="W56" s="1321" t="str">
        <f>Z52&amp;"-"&amp;AB52</f>
        <v>-</v>
      </c>
      <c r="X56" s="1320"/>
      <c r="Y56" s="1321" t="str">
        <f>AB52&amp;"-"&amp;AD52</f>
        <v>-да</v>
      </c>
      <c r="Z56" s="1320"/>
      <c r="AA56" s="1320"/>
      <c r="AB56" s="1320"/>
      <c r="AC56" s="1320"/>
      <c r="AD56" s="2476"/>
      <c r="AE56" s="249"/>
      <c r="AF56" s="251"/>
      <c r="AG56" s="353" t="s">
        <v>584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625"/>
      <c r="BE56" s="437"/>
      <c r="BF56" s="437" t="str">
        <f t="shared" ref="BF56:BF63" si="4">IF(T56="","",T56)</f>
        <v/>
      </c>
      <c r="BG56" s="437"/>
      <c r="BH56" s="437"/>
      <c r="BI56" s="1082">
        <v>11</v>
      </c>
    </row>
    <row r="57" spans="1:61" ht="11.45" customHeight="1">
      <c r="A57" s="1290" t="s">
        <v>341</v>
      </c>
      <c r="B57" s="1290" t="s">
        <v>342</v>
      </c>
      <c r="C57" s="1290" t="s">
        <v>343</v>
      </c>
      <c r="D57" s="1290" t="s">
        <v>623</v>
      </c>
      <c r="E57" s="2602"/>
      <c r="F57" s="2602"/>
      <c r="G57" s="2602"/>
      <c r="H57" s="2602"/>
      <c r="I57" s="2604"/>
      <c r="J57" s="2603"/>
      <c r="K57" s="1290"/>
      <c r="L57" s="1291"/>
      <c r="P57" s="2605"/>
      <c r="Q57" s="2605"/>
      <c r="R57" s="293"/>
      <c r="S57" s="1205"/>
      <c r="T57" s="224" t="s">
        <v>545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626"/>
      <c r="BE57" s="437"/>
      <c r="BF57" s="437" t="str">
        <f t="shared" si="4"/>
        <v>Добавить строку</v>
      </c>
      <c r="BG57" s="437"/>
      <c r="BH57" s="437"/>
      <c r="BI57" s="1082">
        <v>11</v>
      </c>
    </row>
    <row r="58" spans="1:61" s="1569" customFormat="1" ht="0" hidden="1" customHeight="1">
      <c r="A58" s="1270" t="s">
        <v>341</v>
      </c>
      <c r="B58" s="1270" t="s">
        <v>342</v>
      </c>
      <c r="C58" s="1270" t="s">
        <v>343</v>
      </c>
      <c r="D58" s="1270" t="s">
        <v>623</v>
      </c>
      <c r="E58" s="2602"/>
      <c r="F58" s="2602"/>
      <c r="G58" s="2602"/>
      <c r="H58" s="2602"/>
      <c r="I58" s="2603"/>
      <c r="J58" s="1270"/>
      <c r="K58" s="1270"/>
      <c r="L58" s="1273"/>
      <c r="M58" s="447"/>
      <c r="N58" s="447"/>
      <c r="O58" s="447"/>
      <c r="P58" s="260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341</v>
      </c>
      <c r="B59" s="1270" t="s">
        <v>342</v>
      </c>
      <c r="C59" s="1270" t="s">
        <v>343</v>
      </c>
      <c r="D59" s="1270" t="s">
        <v>623</v>
      </c>
      <c r="E59" s="2602"/>
      <c r="F59" s="2602"/>
      <c r="G59" s="2602"/>
      <c r="H59" s="260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341</v>
      </c>
      <c r="B60" s="1270" t="s">
        <v>342</v>
      </c>
      <c r="C60" s="1270" t="s">
        <v>343</v>
      </c>
      <c r="D60" s="1241"/>
      <c r="E60" s="2602"/>
      <c r="F60" s="2602"/>
      <c r="G60" s="260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341</v>
      </c>
      <c r="B61" s="1270" t="s">
        <v>342</v>
      </c>
      <c r="C61" s="1241"/>
      <c r="D61" s="1241"/>
      <c r="E61" s="2602"/>
      <c r="F61" s="2601"/>
      <c r="G61" s="1241"/>
      <c r="H61" s="1241"/>
      <c r="I61" s="1241"/>
      <c r="J61" s="1241"/>
      <c r="K61" s="1241"/>
      <c r="L61" s="1421"/>
      <c r="M61" s="1248"/>
      <c r="N61" s="1248"/>
      <c r="P61" s="1243"/>
      <c r="Q61" s="1244"/>
      <c r="R61" s="1243"/>
      <c r="S61" s="1249"/>
      <c r="T61" s="1252" t="s">
        <v>295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341</v>
      </c>
      <c r="B62" s="1270"/>
      <c r="C62" s="1270"/>
      <c r="D62" s="1270"/>
      <c r="E62" s="2601"/>
      <c r="F62" s="1270"/>
      <c r="G62" s="1270"/>
      <c r="H62" s="1270"/>
      <c r="I62" s="1270"/>
      <c r="J62" s="1270"/>
      <c r="K62" s="1270"/>
      <c r="L62" s="1273"/>
      <c r="M62" s="1248"/>
      <c r="N62" s="1248"/>
      <c r="O62" s="455"/>
      <c r="P62" s="317"/>
      <c r="Q62" s="1271"/>
      <c r="R62" s="317"/>
      <c r="S62" s="1249"/>
      <c r="T62" s="1252" t="s">
        <v>299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300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624</v>
      </c>
      <c r="D2" s="1565"/>
      <c r="E2" s="483">
        <f>B2</f>
        <v>0</v>
      </c>
      <c r="F2" s="484"/>
      <c r="G2" s="1573" t="s">
        <v>625</v>
      </c>
      <c r="H2" s="1573" t="s">
        <v>625</v>
      </c>
      <c r="I2" s="1573" t="s">
        <v>625</v>
      </c>
      <c r="J2" s="226" t="s">
        <v>626</v>
      </c>
      <c r="K2" s="480"/>
      <c r="AF2" s="1558">
        <v>0</v>
      </c>
    </row>
    <row r="3" spans="1:32" ht="11.25">
      <c r="B3" s="2000"/>
      <c r="C3" s="1094"/>
      <c r="D3" s="485"/>
      <c r="E3" s="486"/>
      <c r="F3" s="487" t="s">
        <v>627</v>
      </c>
      <c r="G3" s="488"/>
      <c r="H3" s="488">
        <f>H4*H5+H7</f>
        <v>0</v>
      </c>
      <c r="I3" s="488">
        <f>I4*I5+I6</f>
        <v>0</v>
      </c>
      <c r="J3" s="489"/>
      <c r="AF3" s="1563">
        <v>0</v>
      </c>
    </row>
    <row r="4" spans="1:32" ht="270">
      <c r="B4" s="2000"/>
      <c r="C4" s="1094"/>
      <c r="D4" s="1565"/>
      <c r="E4" s="483" t="str">
        <f>B2&amp;".1"</f>
        <v>.1</v>
      </c>
      <c r="F4" s="490" t="s">
        <v>628</v>
      </c>
      <c r="G4" s="491"/>
      <c r="H4" s="478"/>
      <c r="I4" s="478"/>
      <c r="J4" s="226" t="s">
        <v>629</v>
      </c>
      <c r="K4" s="480"/>
      <c r="AF4" s="1558">
        <v>0</v>
      </c>
    </row>
    <row r="5" spans="1:32" ht="101.25">
      <c r="B5" s="2000"/>
      <c r="C5" s="1094"/>
      <c r="D5" s="1565"/>
      <c r="E5" s="483" t="str">
        <f>B2&amp;".2"</f>
        <v>.2</v>
      </c>
      <c r="F5" s="490" t="s">
        <v>630</v>
      </c>
      <c r="G5" s="1573" t="s">
        <v>631</v>
      </c>
      <c r="H5" s="478"/>
      <c r="I5" s="478"/>
      <c r="J5" s="226"/>
      <c r="K5" s="480"/>
      <c r="AF5" s="1558">
        <v>0</v>
      </c>
    </row>
    <row r="6" spans="1:32" ht="78.75">
      <c r="B6" s="2000"/>
      <c r="C6" s="1094"/>
      <c r="D6" s="1565"/>
      <c r="E6" s="483" t="str">
        <f>B2&amp;".3"</f>
        <v>.3</v>
      </c>
      <c r="F6" s="490" t="s">
        <v>632</v>
      </c>
      <c r="G6" s="1573" t="s">
        <v>631</v>
      </c>
      <c r="H6" s="478"/>
      <c r="I6" s="478"/>
      <c r="J6" s="226"/>
      <c r="K6" s="480"/>
      <c r="AF6" s="1558">
        <v>0</v>
      </c>
    </row>
    <row r="7" spans="1:32" ht="67.5">
      <c r="B7" s="2000"/>
      <c r="C7" s="1094"/>
      <c r="D7" s="1565"/>
      <c r="E7" s="483" t="str">
        <f>B2&amp;".4"</f>
        <v>.4</v>
      </c>
      <c r="F7" s="490" t="s">
        <v>633</v>
      </c>
      <c r="G7" s="1573" t="s">
        <v>625</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631</v>
      </c>
      <c r="H9" s="478"/>
      <c r="I9" s="478"/>
      <c r="J9" s="479" t="s">
        <v>634</v>
      </c>
      <c r="K9" s="480"/>
      <c r="L9" s="1563"/>
      <c r="M9" s="1563"/>
      <c r="R9" s="1563"/>
      <c r="U9" s="481"/>
      <c r="AA9" s="1559"/>
      <c r="AB9" s="1559"/>
      <c r="AC9" s="1559"/>
      <c r="AD9" s="1559"/>
      <c r="AE9" s="1559"/>
      <c r="AF9" s="1087">
        <v>0</v>
      </c>
    </row>
    <row r="10" spans="1:32" ht="11.25">
      <c r="AF10" s="1558">
        <v>0</v>
      </c>
    </row>
    <row r="11" spans="1:32" ht="123.75">
      <c r="D11" s="1565"/>
      <c r="E11" s="483"/>
      <c r="F11" s="477"/>
      <c r="G11" s="1573" t="s">
        <v>635</v>
      </c>
      <c r="H11" s="478"/>
      <c r="I11" s="478"/>
      <c r="J11" s="226" t="s">
        <v>636</v>
      </c>
      <c r="K11" s="480"/>
      <c r="AF11" s="1558">
        <v>0</v>
      </c>
    </row>
    <row r="12" spans="1:32" ht="11.25">
      <c r="AF12" s="1558">
        <v>0</v>
      </c>
    </row>
    <row r="13" spans="1:32" ht="225">
      <c r="D13" s="1565"/>
      <c r="E13" s="483"/>
      <c r="F13" s="477"/>
      <c r="G13" s="899" t="s">
        <v>637</v>
      </c>
      <c r="H13" s="482"/>
      <c r="I13" s="482"/>
      <c r="J13" s="682" t="s">
        <v>638</v>
      </c>
      <c r="K13" s="480"/>
      <c r="AF13" s="1558">
        <v>0</v>
      </c>
    </row>
    <row r="14" spans="1:32" ht="11.25">
      <c r="AF14" s="1558">
        <v>0</v>
      </c>
    </row>
    <row r="15" spans="1:32" ht="258.75">
      <c r="D15" s="1565"/>
      <c r="E15" s="483"/>
      <c r="F15" s="477"/>
      <c r="G15" s="1573" t="s">
        <v>639</v>
      </c>
      <c r="H15" s="482"/>
      <c r="I15" s="482"/>
      <c r="J15" s="226" t="s">
        <v>640</v>
      </c>
      <c r="K15" s="480"/>
      <c r="AF15" s="1558">
        <v>0</v>
      </c>
    </row>
    <row r="16" spans="1:32" ht="11.25">
      <c r="AF16" s="1558">
        <v>0</v>
      </c>
    </row>
    <row r="17" spans="1:32" ht="270">
      <c r="D17" s="1565"/>
      <c r="E17" s="483"/>
      <c r="F17" s="477"/>
      <c r="G17" s="1573" t="s">
        <v>641</v>
      </c>
      <c r="H17" s="482"/>
      <c r="I17" s="482"/>
      <c r="J17" s="226" t="s">
        <v>642</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281.25">
      <c r="E22" s="200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005"/>
      <c r="G22" s="2005"/>
      <c r="H22" s="2005"/>
      <c r="I22" s="2005"/>
      <c r="AF22" s="1558">
        <v>24</v>
      </c>
    </row>
    <row r="23" spans="1:32" ht="11.25">
      <c r="E23" s="1062"/>
      <c r="F23" s="1062"/>
      <c r="G23" s="1062"/>
      <c r="H23" s="1062"/>
      <c r="I23" s="1062"/>
      <c r="AF23" s="1558">
        <v>11</v>
      </c>
    </row>
    <row r="24" spans="1:32" ht="11.25">
      <c r="A24" s="1094"/>
      <c r="D24" s="1569"/>
      <c r="H24" s="819"/>
      <c r="I24" s="819" t="s">
        <v>183</v>
      </c>
      <c r="AF24" s="1563">
        <v>1</v>
      </c>
    </row>
    <row r="25" spans="1:32" ht="33.75">
      <c r="E25" s="648"/>
      <c r="F25" s="2009" t="s">
        <v>173</v>
      </c>
      <c r="G25" s="2010"/>
      <c r="H25" s="1579" t="str">
        <f>IF(H24="","",INDEX(DIFFERENTIATION_UNMERGE_VD,MATCH(H24,DIFFERENTIATION_ID_DIFF,0)))</f>
        <v/>
      </c>
      <c r="I25" s="1579">
        <f>IF(I24="","",INDEX(DIFFERENTIATION_UNMERGE_VD,MATCH(I24,DIFFERENTIATION_ID_DIFF,0)))</f>
        <v>0</v>
      </c>
      <c r="J25" s="2002"/>
      <c r="AF25" s="1558">
        <v>11</v>
      </c>
    </row>
    <row r="26" spans="1:32" ht="45">
      <c r="E26" s="648"/>
      <c r="F26" s="2009" t="s">
        <v>643</v>
      </c>
      <c r="G26" s="2010"/>
      <c r="H26" s="1579" t="str">
        <f>IF(H24="","",INDEX(DIFFERENTIATION_UNMERGE_AREA,MATCH(H24,DIFFERENTIATION_ID_DIFF,0)))</f>
        <v/>
      </c>
      <c r="I26" s="1579" t="str">
        <f>IF(I24="","",INDEX(DIFFERENTIATION_UNMERGE_AREA,MATCH(I24,DIFFERENTIATION_ID_DIFF,0)))</f>
        <v/>
      </c>
      <c r="J26" s="2002"/>
      <c r="AF26" s="1558">
        <v>11</v>
      </c>
    </row>
    <row r="27" spans="1:32" ht="56.25">
      <c r="E27" s="648"/>
      <c r="F27" s="2009" t="s">
        <v>644</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1" t="s">
        <v>380</v>
      </c>
      <c r="F28" s="2012"/>
      <c r="G28" s="2012"/>
      <c r="H28" s="1572"/>
      <c r="I28" s="1572"/>
      <c r="J28" s="2002"/>
      <c r="AF28" s="1558">
        <v>11</v>
      </c>
    </row>
    <row r="29" spans="1:32" ht="45">
      <c r="E29" s="1573" t="s">
        <v>88</v>
      </c>
      <c r="F29" s="1580" t="s">
        <v>382</v>
      </c>
      <c r="G29" s="1580" t="s">
        <v>645</v>
      </c>
      <c r="H29" s="1580" t="s">
        <v>383</v>
      </c>
      <c r="I29" s="1580" t="s">
        <v>383</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631</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631</v>
      </c>
      <c r="H31" s="495">
        <f>SUMIF($K33:$K71,$K31,H33:H71)</f>
        <v>0</v>
      </c>
      <c r="I31" s="495">
        <f>SUMIF($K33:$K71,$K31,I33:I71)</f>
        <v>0</v>
      </c>
      <c r="J31" s="226" t="str">
        <f>FHD_NOTE_P_2</f>
        <v>Указывается суммарная себестоимость производимых товаров.</v>
      </c>
      <c r="K31" s="1563" t="s">
        <v>646</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631</v>
      </c>
      <c r="H32" s="494"/>
      <c r="I32" s="494"/>
      <c r="J32" s="226" t="str">
        <f>FHD_NOTE_P_3</f>
        <v/>
      </c>
      <c r="K32" s="1563" t="str">
        <f t="shared" ref="K32:K70" si="0">IF((LEN(E32)-LEN(SUBSTITUTE(E32,".","")))/LEN(".")=1,"p","")</f>
        <v>p</v>
      </c>
      <c r="AF32" s="1558">
        <v>11</v>
      </c>
    </row>
    <row r="33" spans="1:32">
      <c r="A33" s="2013" t="s">
        <v>647</v>
      </c>
      <c r="D33" s="1565"/>
      <c r="E33" s="483" t="str">
        <f>FHD_NUM_P_4</f>
        <v/>
      </c>
      <c r="F33" s="1451" t="str">
        <f>FHD_P_4</f>
        <v/>
      </c>
      <c r="G33" s="1804" t="s">
        <v>631</v>
      </c>
      <c r="H33" s="495">
        <f>SUMIF($F34:$F40,$F3,H34:H40)</f>
        <v>0</v>
      </c>
      <c r="I33" s="495">
        <f>SUMIF($F34:$F40,$F3,I34:I40)</f>
        <v>0</v>
      </c>
      <c r="J33" s="226" t="str">
        <f>FHD_NOTE_P_4</f>
        <v/>
      </c>
      <c r="K33" s="1563" t="str">
        <f t="shared" si="0"/>
        <v/>
      </c>
      <c r="AF33" s="1558">
        <v>0</v>
      </c>
    </row>
    <row r="34" spans="1:32" ht="11.25">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648</v>
      </c>
      <c r="G40" s="509"/>
      <c r="H40" s="510"/>
      <c r="I40" s="510"/>
      <c r="J40" s="238"/>
      <c r="K40" s="1563" t="str">
        <f t="shared" si="0"/>
        <v/>
      </c>
      <c r="L40" s="1563"/>
      <c r="M40" s="1563"/>
      <c r="R40" s="1563"/>
      <c r="U40" s="481"/>
      <c r="AA40" s="1559"/>
      <c r="AB40" s="1559"/>
      <c r="AC40" s="1559"/>
      <c r="AD40" s="1559"/>
      <c r="AE40" s="1559"/>
      <c r="AF40" s="1087">
        <v>0</v>
      </c>
    </row>
    <row r="41" spans="1:32" ht="19.5">
      <c r="A41" s="2013" t="s">
        <v>649</v>
      </c>
      <c r="D41" s="1565"/>
      <c r="E41" s="483" t="str">
        <f>FHD_NUM_P_5</f>
        <v/>
      </c>
      <c r="F41" s="1451" t="str">
        <f>FHD_P_5</f>
        <v/>
      </c>
      <c r="G41" s="1804" t="s">
        <v>631</v>
      </c>
      <c r="H41" s="494"/>
      <c r="I41" s="494"/>
      <c r="J41" s="226" t="str">
        <f>FHD_NOTE_P_5</f>
        <v/>
      </c>
      <c r="K41" s="1563" t="str">
        <f t="shared" si="0"/>
        <v/>
      </c>
      <c r="AF41" s="1558">
        <v>0</v>
      </c>
    </row>
    <row r="42" spans="1:32" ht="11.25">
      <c r="A42" s="2013"/>
      <c r="D42" s="1565"/>
      <c r="E42" s="483" t="str">
        <f>FHD_NUM_P_6</f>
        <v/>
      </c>
      <c r="F42" s="1451" t="str">
        <f>FHD_P_6</f>
        <v/>
      </c>
      <c r="G42" s="1804" t="s">
        <v>631</v>
      </c>
      <c r="H42" s="494"/>
      <c r="I42" s="494"/>
      <c r="J42" s="226" t="str">
        <f>FHD_NOTE_P_6</f>
        <v/>
      </c>
      <c r="K42" s="1563" t="str">
        <f t="shared" si="0"/>
        <v/>
      </c>
      <c r="AF42" s="1558">
        <v>0</v>
      </c>
    </row>
    <row r="43" spans="1:32" ht="11.25">
      <c r="A43" s="2013"/>
      <c r="D43" s="1565"/>
      <c r="E43" s="483" t="str">
        <f>FHD_NUM_P_7</f>
        <v/>
      </c>
      <c r="F43" s="1451" t="str">
        <f>FHD_P_7</f>
        <v/>
      </c>
      <c r="G43" s="1804" t="s">
        <v>631</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631</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650</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651</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652</v>
      </c>
      <c r="C47" s="1563"/>
      <c r="D47" s="512"/>
      <c r="E47" s="483" t="str">
        <f>FHD_NUM_P_11</f>
        <v/>
      </c>
      <c r="F47" s="1451" t="str">
        <f>FHD_P_11</f>
        <v/>
      </c>
      <c r="G47" s="1804" t="s">
        <v>631</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653</v>
      </c>
      <c r="C48" s="1563"/>
      <c r="D48" s="1565"/>
      <c r="E48" s="483" t="str">
        <f>FHD_NUM_P_12</f>
        <v>2.3</v>
      </c>
      <c r="F48" s="1451" t="str">
        <f>FHD_P_12</f>
        <v>Расходы на химические реагенты, используемые в технологическом процессе</v>
      </c>
      <c r="G48" s="1804" t="s">
        <v>631</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631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631</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631</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631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631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631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631</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631</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631</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631</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631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631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631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631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631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631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631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386</v>
      </c>
      <c r="H66" s="1576" t="s">
        <v>654</v>
      </c>
      <c r="I66" s="1576" t="s">
        <v>654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3" t="s">
        <v>655</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631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3"/>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386</v>
      </c>
      <c r="H68" s="1576" t="s">
        <v>654</v>
      </c>
      <c r="I68" s="1576" t="s">
        <v>654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631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656</v>
      </c>
      <c r="G71" s="509"/>
      <c r="H71" s="510"/>
      <c r="I71" s="510"/>
      <c r="J71" s="238"/>
      <c r="K71" s="1563"/>
      <c r="L71" s="1563"/>
      <c r="M71" s="1563"/>
      <c r="R71" s="1563"/>
      <c r="U71" s="481"/>
      <c r="AA71" s="1559"/>
      <c r="AB71" s="1559"/>
      <c r="AC71" s="1559"/>
      <c r="AD71" s="1559"/>
      <c r="AE71" s="1559"/>
      <c r="AF71" s="1087">
        <v>14</v>
      </c>
    </row>
    <row r="72" spans="1:32" ht="18.75">
      <c r="A72" s="919" t="s">
        <v>657</v>
      </c>
      <c r="C72" s="1563"/>
      <c r="D72" s="1565"/>
      <c r="E72" s="483" t="str">
        <f>FHD_NUM_P_34</f>
        <v/>
      </c>
      <c r="F72" s="1806" t="str">
        <f>FHD_P_34</f>
        <v/>
      </c>
      <c r="G72" s="1804" t="s">
        <v>631</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631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631</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631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631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631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631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631</v>
      </c>
      <c r="H79" s="906"/>
      <c r="I79" s="494"/>
      <c r="J79" s="226" t="str">
        <f>FHD_NOTE_P_41</f>
        <v/>
      </c>
      <c r="K79" s="480"/>
      <c r="L79" s="1563"/>
      <c r="M79" s="1563"/>
      <c r="R79" s="1563"/>
      <c r="U79" s="481"/>
      <c r="AA79" s="1559"/>
      <c r="AB79" s="1559"/>
      <c r="AC79" s="1559"/>
      <c r="AD79" s="1559"/>
      <c r="AE79" s="1559"/>
      <c r="AF79" s="1087">
        <v>19</v>
      </c>
    </row>
    <row r="80" spans="1:32" ht="191.25">
      <c r="A80" s="919" t="s">
        <v>658</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631</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386</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3" t="s">
        <v>659</v>
      </c>
      <c r="C82" s="672"/>
      <c r="D82" s="670"/>
      <c r="E82" s="483" t="str">
        <f>FHD_NUM_P_44</f>
        <v>7</v>
      </c>
      <c r="F82" s="1806" t="str">
        <f>FHD_P_44</f>
        <v>Объём поднятой воды</v>
      </c>
      <c r="G82" s="1807" t="s">
        <v>660</v>
      </c>
      <c r="H82" s="907"/>
      <c r="I82" s="514"/>
      <c r="J82" s="226" t="str">
        <f>FHD_NOTE_P_44</f>
        <v/>
      </c>
      <c r="K82" s="671"/>
      <c r="L82" s="672"/>
      <c r="M82" s="672"/>
      <c r="R82" s="672"/>
      <c r="U82" s="673"/>
      <c r="AA82" s="674"/>
      <c r="AB82" s="674"/>
      <c r="AC82" s="674"/>
      <c r="AD82" s="674"/>
      <c r="AE82" s="674"/>
      <c r="AF82" s="840">
        <v>0</v>
      </c>
    </row>
    <row r="83" spans="1:32" ht="33.75">
      <c r="A83" s="2013"/>
      <c r="C83" s="672"/>
      <c r="D83" s="670"/>
      <c r="E83" s="483" t="str">
        <f>FHD_NUM_P_45</f>
        <v>8</v>
      </c>
      <c r="F83" s="1806" t="str">
        <f>FHD_P_45</f>
        <v>Объём покупной воды</v>
      </c>
      <c r="G83" s="1807" t="s">
        <v>660</v>
      </c>
      <c r="H83" s="907"/>
      <c r="I83" s="514"/>
      <c r="J83" s="226" t="str">
        <f>FHD_NOTE_P_45</f>
        <v/>
      </c>
      <c r="K83" s="671"/>
      <c r="L83" s="672"/>
      <c r="M83" s="672"/>
      <c r="R83" s="672"/>
      <c r="U83" s="673"/>
      <c r="AA83" s="674"/>
      <c r="AB83" s="674"/>
      <c r="AC83" s="674"/>
      <c r="AD83" s="674"/>
      <c r="AE83" s="674"/>
      <c r="AF83" s="840">
        <v>0</v>
      </c>
    </row>
    <row r="84" spans="1:32" ht="90">
      <c r="A84" s="2013"/>
      <c r="C84" s="672"/>
      <c r="D84" s="675"/>
      <c r="E84" s="483" t="str">
        <f>FHD_NUM_P_46</f>
        <v>9</v>
      </c>
      <c r="F84" s="1806" t="str">
        <f>FHD_P_46</f>
        <v>Объём воды, пропущенной через очистные сооружения</v>
      </c>
      <c r="G84" s="1807" t="s">
        <v>660</v>
      </c>
      <c r="H84" s="907"/>
      <c r="I84" s="514"/>
      <c r="J84" s="226" t="str">
        <f>FHD_NOTE_P_46</f>
        <v/>
      </c>
      <c r="K84" s="671"/>
      <c r="L84" s="672"/>
      <c r="M84" s="672"/>
      <c r="R84" s="672"/>
      <c r="U84" s="673"/>
      <c r="AA84" s="674"/>
      <c r="AB84" s="674"/>
      <c r="AC84" s="674"/>
      <c r="AD84" s="674"/>
      <c r="AE84" s="674"/>
      <c r="AF84" s="840">
        <v>0</v>
      </c>
    </row>
    <row r="85" spans="1:32" ht="90">
      <c r="A85" s="2013"/>
      <c r="C85" s="672"/>
      <c r="D85" s="670"/>
      <c r="E85" s="483" t="str">
        <f>FHD_NUM_P_47</f>
        <v>10</v>
      </c>
      <c r="F85" s="1806" t="str">
        <f>FHD_P_47</f>
        <v>Объём отпущенной потребителям воды, в том числе:</v>
      </c>
      <c r="G85" s="1807" t="s">
        <v>660</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3"/>
      <c r="B86" s="840"/>
      <c r="C86" s="672"/>
      <c r="D86" s="670"/>
      <c r="E86" s="483" t="str">
        <f>FHD_NUM_P_48</f>
        <v>10.1</v>
      </c>
      <c r="F86" s="1806" t="str">
        <f>FHD_P_48</f>
        <v>Объём отпущенной потребителям воды, определенный по приборам учета</v>
      </c>
      <c r="G86" s="1807" t="s">
        <v>660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3"/>
      <c r="B87" s="840"/>
      <c r="C87" s="672"/>
      <c r="D87" s="670"/>
      <c r="E87" s="483" t="str">
        <f>FHD_NUM_P_49</f>
        <v>10.2</v>
      </c>
      <c r="F87" s="1806" t="str">
        <f>FHD_P_49</f>
        <v>Объём отпущенной потребителям воды, определенный расчетным способом</v>
      </c>
      <c r="G87" s="1807" t="s">
        <v>660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3"/>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660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3"/>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660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3"/>
      <c r="B90" s="840"/>
      <c r="C90" s="672"/>
      <c r="D90" s="670"/>
      <c r="E90" s="483" t="str">
        <f>FHD_NUM_P_52</f>
        <v>11</v>
      </c>
      <c r="F90" s="1806" t="str">
        <f>FHD_P_52</f>
        <v>Потери воды в сетях</v>
      </c>
      <c r="G90" s="1807" t="s">
        <v>637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5" t="s">
        <v>661</v>
      </c>
      <c r="C91" s="672"/>
      <c r="D91" s="670"/>
      <c r="E91" s="483" t="str">
        <f>FHD_NUM_P_53</f>
        <v/>
      </c>
      <c r="F91" s="1806" t="str">
        <f>FHD_P_53</f>
        <v/>
      </c>
      <c r="G91" s="1807" t="s">
        <v>660</v>
      </c>
      <c r="H91" s="907"/>
      <c r="I91" s="514"/>
      <c r="J91" s="226" t="str">
        <f>FHD_NOTE_P_53</f>
        <v/>
      </c>
      <c r="K91" s="671"/>
      <c r="L91" s="672"/>
      <c r="M91" s="672"/>
      <c r="R91" s="672"/>
      <c r="U91" s="673"/>
      <c r="AA91" s="674"/>
      <c r="AB91" s="674"/>
      <c r="AC91" s="674"/>
      <c r="AD91" s="674"/>
      <c r="AE91" s="674"/>
      <c r="AF91" s="840">
        <v>0</v>
      </c>
    </row>
    <row r="92" spans="1:32" ht="22.5">
      <c r="A92" s="2015"/>
      <c r="C92" s="672"/>
      <c r="D92" s="670"/>
      <c r="E92" s="483" t="str">
        <f>FHD_NUM_P_54</f>
        <v/>
      </c>
      <c r="F92" s="1806" t="str">
        <f>FHD_P_54</f>
        <v/>
      </c>
      <c r="G92" s="1807" t="s">
        <v>660</v>
      </c>
      <c r="H92" s="907"/>
      <c r="I92" s="514"/>
      <c r="J92" s="226" t="str">
        <f>FHD_NOTE_P_54</f>
        <v/>
      </c>
      <c r="K92" s="671"/>
      <c r="L92" s="672"/>
      <c r="M92" s="672"/>
      <c r="R92" s="672"/>
      <c r="U92" s="673"/>
      <c r="AA92" s="674"/>
      <c r="AB92" s="674"/>
      <c r="AC92" s="674"/>
      <c r="AD92" s="674"/>
      <c r="AE92" s="674"/>
      <c r="AF92" s="840">
        <v>0</v>
      </c>
    </row>
    <row r="93" spans="1:32" ht="18.75">
      <c r="A93" s="2015"/>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5"/>
      <c r="C94" s="672"/>
      <c r="D94" s="670"/>
      <c r="E94" s="483" t="str">
        <f>FHD_NUM_P_56</f>
        <v/>
      </c>
      <c r="F94" s="1806" t="str">
        <f>FHD_P_56</f>
        <v/>
      </c>
      <c r="G94" s="1807" t="s">
        <v>662</v>
      </c>
      <c r="H94" s="907"/>
      <c r="I94" s="514"/>
      <c r="J94" s="226" t="str">
        <f>FHD_NOTE_P_56</f>
        <v/>
      </c>
      <c r="K94" s="671"/>
      <c r="L94" s="672"/>
      <c r="M94" s="672"/>
      <c r="R94" s="672"/>
      <c r="U94" s="673"/>
      <c r="AA94" s="674"/>
      <c r="AB94" s="674"/>
      <c r="AC94" s="674"/>
      <c r="AD94" s="674"/>
      <c r="AE94" s="674"/>
      <c r="AF94" s="840">
        <v>0</v>
      </c>
    </row>
    <row r="95" spans="1:32" ht="18.75">
      <c r="A95" s="2015"/>
      <c r="B95" s="840"/>
      <c r="C95" s="672"/>
      <c r="D95" s="670"/>
      <c r="E95" s="483" t="str">
        <f>FHD_NUM_P_57</f>
        <v/>
      </c>
      <c r="F95" s="1806" t="str">
        <f>FHD_P_57</f>
        <v/>
      </c>
      <c r="G95" s="1807" t="s">
        <v>637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3" t="s">
        <v>663</v>
      </c>
      <c r="D96" s="1565"/>
      <c r="E96" s="483" t="str">
        <f>FHD_NUM_P_58</f>
        <v/>
      </c>
      <c r="F96" s="1806" t="str">
        <f>FHD_P_58</f>
        <v/>
      </c>
      <c r="G96" s="1807" t="s">
        <v>660</v>
      </c>
      <c r="H96" s="907"/>
      <c r="I96" s="514"/>
      <c r="J96" s="226" t="str">
        <f>FHD_NOTE_P_58</f>
        <v/>
      </c>
      <c r="K96" s="480"/>
      <c r="AF96" s="1558">
        <v>0</v>
      </c>
    </row>
    <row r="97" spans="1:32" ht="22.5">
      <c r="A97" s="2013"/>
      <c r="D97" s="1565"/>
      <c r="E97" s="483" t="str">
        <f>FHD_NUM_P_59</f>
        <v/>
      </c>
      <c r="F97" s="1806" t="str">
        <f>FHD_P_59</f>
        <v/>
      </c>
      <c r="G97" s="1807" t="s">
        <v>660</v>
      </c>
      <c r="H97" s="907"/>
      <c r="I97" s="514"/>
      <c r="J97" s="226" t="str">
        <f>FHD_NOTE_P_59</f>
        <v/>
      </c>
      <c r="K97" s="480"/>
      <c r="AF97" s="1558">
        <v>0</v>
      </c>
    </row>
    <row r="98" spans="1:32" ht="22.5">
      <c r="A98" s="2013"/>
      <c r="D98" s="1565"/>
      <c r="E98" s="483" t="str">
        <f>FHD_NUM_P_60</f>
        <v/>
      </c>
      <c r="F98" s="1806" t="str">
        <f>FHD_P_60</f>
        <v/>
      </c>
      <c r="G98" s="1807" t="s">
        <v>660</v>
      </c>
      <c r="H98" s="907"/>
      <c r="I98" s="514"/>
      <c r="J98" s="226" t="str">
        <f>FHD_NOTE_P_60</f>
        <v/>
      </c>
      <c r="K98" s="480"/>
      <c r="AF98" s="1558">
        <v>0</v>
      </c>
    </row>
    <row r="99" spans="1:32" ht="18.75">
      <c r="A99" s="2013" t="s">
        <v>664</v>
      </c>
      <c r="C99" s="1563"/>
      <c r="D99" s="1565"/>
      <c r="E99" s="483" t="str">
        <f>FHD_NUM_P_61</f>
        <v/>
      </c>
      <c r="F99" s="1806" t="str">
        <f>FHD_P_61</f>
        <v/>
      </c>
      <c r="G99" s="1804" t="s">
        <v>635</v>
      </c>
      <c r="H99" s="909"/>
      <c r="I99" s="679"/>
      <c r="J99" s="226" t="str">
        <f>FHD_NOTE_P_61</f>
        <v/>
      </c>
      <c r="K99" s="480"/>
      <c r="L99" s="1563"/>
      <c r="M99" s="1563"/>
      <c r="R99" s="1563"/>
      <c r="U99" s="481"/>
      <c r="AA99" s="1559"/>
      <c r="AB99" s="1559"/>
      <c r="AC99" s="1559"/>
      <c r="AD99" s="1559"/>
      <c r="AE99" s="1559"/>
      <c r="AF99" s="1087">
        <v>0</v>
      </c>
    </row>
    <row r="100" spans="1:32" ht="11.25">
      <c r="A100" s="2013"/>
      <c r="D100" s="485"/>
      <c r="E100" s="943" t="str">
        <f>E99&amp;".0"</f>
        <v>.0</v>
      </c>
      <c r="F100" s="924"/>
      <c r="G100" s="925"/>
      <c r="H100" s="922"/>
      <c r="I100" s="922"/>
      <c r="J100" s="926"/>
      <c r="AF100" s="1563">
        <v>0</v>
      </c>
    </row>
    <row r="101" spans="1:32" ht="225">
      <c r="A101" s="2013"/>
      <c r="D101" s="1560"/>
      <c r="E101" s="901"/>
      <c r="F101" s="902" t="s">
        <v>665</v>
      </c>
      <c r="G101" s="509"/>
      <c r="H101" s="510"/>
      <c r="I101" s="510"/>
      <c r="J101" s="934" t="s">
        <v>666</v>
      </c>
      <c r="K101" s="480"/>
      <c r="AF101" s="1558">
        <v>0</v>
      </c>
    </row>
    <row r="102" spans="1:32" ht="18.75">
      <c r="A102" s="2013"/>
      <c r="C102" s="1563"/>
      <c r="D102" s="1565"/>
      <c r="E102" s="483" t="str">
        <f>FHD_NUM_P_62</f>
        <v/>
      </c>
      <c r="F102" s="1806" t="str">
        <f>FHD_P_62</f>
        <v/>
      </c>
      <c r="G102" s="1803" t="s">
        <v>635</v>
      </c>
      <c r="H102" s="494"/>
      <c r="I102" s="494"/>
      <c r="J102" s="226" t="str">
        <f>FHD_NOTE_P_62</f>
        <v/>
      </c>
      <c r="K102" s="480"/>
      <c r="L102" s="1563"/>
      <c r="M102" s="1563"/>
      <c r="R102" s="1563"/>
      <c r="U102" s="481"/>
      <c r="AA102" s="1559"/>
      <c r="AB102" s="1559"/>
      <c r="AC102" s="1559"/>
      <c r="AD102" s="1559"/>
      <c r="AE102" s="1559"/>
      <c r="AF102" s="1087">
        <v>0</v>
      </c>
    </row>
    <row r="103" spans="1:32" ht="18.75">
      <c r="A103" s="2013"/>
      <c r="C103" s="1563"/>
      <c r="D103" s="1565"/>
      <c r="E103" s="483" t="str">
        <f>FHD_NUM_P_63</f>
        <v/>
      </c>
      <c r="F103" s="1806" t="str">
        <f>FHD_P_63</f>
        <v/>
      </c>
      <c r="G103" s="1803" t="s">
        <v>662</v>
      </c>
      <c r="H103" s="514"/>
      <c r="I103" s="514"/>
      <c r="J103" s="226" t="str">
        <f>FHD_NOTE_P_63</f>
        <v/>
      </c>
      <c r="K103" s="480"/>
      <c r="L103" s="1563"/>
      <c r="M103" s="1563"/>
      <c r="R103" s="1563"/>
      <c r="U103" s="481"/>
      <c r="AA103" s="1559"/>
      <c r="AB103" s="1559"/>
      <c r="AC103" s="1559"/>
      <c r="AD103" s="1559"/>
      <c r="AE103" s="1559"/>
      <c r="AF103" s="1087">
        <v>0</v>
      </c>
    </row>
    <row r="104" spans="1:32" ht="18.75">
      <c r="A104" s="2013"/>
      <c r="C104" s="1563" t="s">
        <v>667</v>
      </c>
      <c r="D104" s="1565"/>
      <c r="E104" s="483" t="str">
        <f>FHD_NUM_P_64</f>
        <v/>
      </c>
      <c r="F104" s="1806" t="str">
        <f>FHD_P_64</f>
        <v/>
      </c>
      <c r="G104" s="1803" t="s">
        <v>662</v>
      </c>
      <c r="H104" s="482"/>
      <c r="I104" s="482"/>
      <c r="J104" s="226" t="str">
        <f>FHD_NOTE_P_64</f>
        <v/>
      </c>
      <c r="K104" s="480"/>
      <c r="L104" s="1563"/>
      <c r="M104" s="1563"/>
      <c r="R104" s="1563"/>
      <c r="U104" s="481"/>
      <c r="AA104" s="1559"/>
      <c r="AB104" s="1559"/>
      <c r="AC104" s="1559"/>
      <c r="AD104" s="1559"/>
      <c r="AE104" s="1559"/>
      <c r="AF104" s="1087">
        <v>0</v>
      </c>
    </row>
    <row r="105" spans="1:32" ht="18.75">
      <c r="A105" s="2013"/>
      <c r="C105" s="1563"/>
      <c r="D105" s="1565"/>
      <c r="E105" s="483" t="str">
        <f>FHD_NUM_P_65</f>
        <v/>
      </c>
      <c r="F105" s="1806" t="str">
        <f>FHD_P_65</f>
        <v/>
      </c>
      <c r="G105" s="1803" t="s">
        <v>662</v>
      </c>
      <c r="H105" s="514"/>
      <c r="I105" s="514"/>
      <c r="J105" s="226" t="str">
        <f>FHD_NOTE_P_65</f>
        <v/>
      </c>
      <c r="K105" s="480"/>
      <c r="L105" s="1563"/>
      <c r="M105" s="1563"/>
      <c r="R105" s="1563"/>
      <c r="U105" s="481"/>
      <c r="AA105" s="1559"/>
      <c r="AB105" s="1559"/>
      <c r="AC105" s="1559"/>
      <c r="AD105" s="1559"/>
      <c r="AE105" s="1559"/>
      <c r="AF105" s="1087">
        <v>0</v>
      </c>
    </row>
    <row r="106" spans="1:32" ht="18.75">
      <c r="A106" s="2013"/>
      <c r="C106" s="1563"/>
      <c r="D106" s="1565"/>
      <c r="E106" s="483" t="str">
        <f>FHD_NUM_P_66</f>
        <v/>
      </c>
      <c r="F106" s="1451" t="str">
        <f>FHD_P_66</f>
        <v/>
      </c>
      <c r="G106" s="1803" t="s">
        <v>662</v>
      </c>
      <c r="H106" s="514"/>
      <c r="I106" s="514"/>
      <c r="J106" s="226" t="str">
        <f>FHD_NOTE_P_66</f>
        <v/>
      </c>
      <c r="K106" s="480"/>
      <c r="L106" s="1563"/>
      <c r="M106" s="1563"/>
      <c r="R106" s="1563"/>
      <c r="U106" s="481"/>
      <c r="AA106" s="1559"/>
      <c r="AB106" s="1559"/>
      <c r="AC106" s="1559"/>
      <c r="AD106" s="1559"/>
      <c r="AE106" s="1559"/>
      <c r="AF106" s="1087">
        <v>0</v>
      </c>
    </row>
    <row r="107" spans="1:32" ht="18.75">
      <c r="A107" s="2013"/>
      <c r="C107" s="1563"/>
      <c r="D107" s="1565"/>
      <c r="E107" s="483" t="str">
        <f>FHD_NUM_P_67</f>
        <v/>
      </c>
      <c r="F107" s="1577" t="str">
        <f>FHD_P_67</f>
        <v/>
      </c>
      <c r="G107" s="1803" t="s">
        <v>662</v>
      </c>
      <c r="H107" s="514"/>
      <c r="I107" s="514"/>
      <c r="J107" s="226" t="str">
        <f>FHD_NOTE_P_67</f>
        <v/>
      </c>
      <c r="K107" s="480"/>
      <c r="L107" s="1563"/>
      <c r="M107" s="1563"/>
      <c r="R107" s="1563"/>
      <c r="U107" s="481"/>
      <c r="AA107" s="1559"/>
      <c r="AB107" s="1559"/>
      <c r="AC107" s="1559"/>
      <c r="AD107" s="1559"/>
      <c r="AE107" s="1559"/>
      <c r="AF107" s="1087">
        <v>0</v>
      </c>
    </row>
    <row r="108" spans="1:32" ht="18.75">
      <c r="A108" s="2013"/>
      <c r="C108" s="1563"/>
      <c r="D108" s="1565"/>
      <c r="E108" s="483" t="str">
        <f>FHD_NUM_P_68</f>
        <v/>
      </c>
      <c r="F108" s="1451" t="str">
        <f>FHD_P_68</f>
        <v/>
      </c>
      <c r="G108" s="1803" t="s">
        <v>662</v>
      </c>
      <c r="H108" s="514"/>
      <c r="I108" s="514"/>
      <c r="J108" s="226" t="str">
        <f>FHD_NOTE_P_68</f>
        <v/>
      </c>
      <c r="K108" s="480"/>
      <c r="L108" s="1563"/>
      <c r="M108" s="1563"/>
      <c r="R108" s="1563"/>
      <c r="U108" s="481"/>
      <c r="AA108" s="1559"/>
      <c r="AB108" s="1559"/>
      <c r="AC108" s="1559"/>
      <c r="AD108" s="1559"/>
      <c r="AE108" s="1559"/>
      <c r="AF108" s="1087">
        <v>0</v>
      </c>
    </row>
    <row r="109" spans="1:32" ht="18.75">
      <c r="A109" s="2013"/>
      <c r="C109" s="1563"/>
      <c r="D109" s="1565"/>
      <c r="E109" s="483" t="str">
        <f>FHD_NUM_P_69</f>
        <v/>
      </c>
      <c r="F109" s="1451" t="str">
        <f>FHD_P_69</f>
        <v/>
      </c>
      <c r="G109" s="1803" t="s">
        <v>662</v>
      </c>
      <c r="H109" s="514"/>
      <c r="I109" s="514"/>
      <c r="J109" s="226" t="str">
        <f>FHD_NOTE_P_69</f>
        <v/>
      </c>
      <c r="K109" s="480"/>
      <c r="L109" s="1563"/>
      <c r="M109" s="1563"/>
      <c r="R109" s="1563"/>
      <c r="U109" s="481"/>
      <c r="AA109" s="1559"/>
      <c r="AB109" s="1559"/>
      <c r="AC109" s="1559"/>
      <c r="AD109" s="1559"/>
      <c r="AE109" s="1559"/>
      <c r="AF109" s="1087">
        <v>0</v>
      </c>
    </row>
    <row r="110" spans="1:32" ht="22.5">
      <c r="A110" s="2013"/>
      <c r="C110" s="1563"/>
      <c r="D110" s="1565"/>
      <c r="E110" s="483" t="str">
        <f>FHD_NUM_P_70</f>
        <v/>
      </c>
      <c r="F110" s="1806" t="str">
        <f>FHD_P_70</f>
        <v/>
      </c>
      <c r="G110" s="1803" t="s">
        <v>668</v>
      </c>
      <c r="H110" s="494"/>
      <c r="I110" s="494"/>
      <c r="J110" s="226" t="str">
        <f>FHD_NOTE_P_70</f>
        <v/>
      </c>
      <c r="K110" s="480"/>
      <c r="L110" s="1563"/>
      <c r="M110" s="1563"/>
      <c r="R110" s="1563"/>
      <c r="U110" s="481"/>
      <c r="AA110" s="1559"/>
      <c r="AB110" s="1559"/>
      <c r="AC110" s="1559"/>
      <c r="AD110" s="1559"/>
      <c r="AE110" s="1559"/>
      <c r="AF110" s="1087">
        <v>0</v>
      </c>
    </row>
    <row r="111" spans="1:32" ht="22.5">
      <c r="A111" s="2013"/>
      <c r="C111" s="1563"/>
      <c r="D111" s="1565"/>
      <c r="E111" s="483" t="str">
        <f>FHD_NUM_P_71</f>
        <v/>
      </c>
      <c r="F111" s="1806" t="str">
        <f>FHD_P_71</f>
        <v/>
      </c>
      <c r="G111" s="1803" t="s">
        <v>668</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669</v>
      </c>
      <c r="H112" s="514"/>
      <c r="I112" s="514"/>
      <c r="J112" s="226" t="str">
        <f>FHD_NOTE_P_72</f>
        <v/>
      </c>
      <c r="K112" s="480"/>
      <c r="AF112" s="1558">
        <v>19</v>
      </c>
    </row>
    <row r="113" spans="1:32" ht="18.75">
      <c r="A113" s="919" t="s">
        <v>670</v>
      </c>
      <c r="D113" s="1565"/>
      <c r="E113" s="483" t="str">
        <f>FHD_NUM_P_73</f>
        <v/>
      </c>
      <c r="F113" s="1806" t="str">
        <f>FHD_P_73</f>
        <v/>
      </c>
      <c r="G113" s="900" t="s">
        <v>669</v>
      </c>
      <c r="H113" s="898"/>
      <c r="I113" s="898"/>
      <c r="J113" s="226" t="str">
        <f>FHD_NOTE_P_73</f>
        <v/>
      </c>
      <c r="K113" s="480"/>
      <c r="AF113" s="1558">
        <v>0</v>
      </c>
    </row>
    <row r="114" spans="1:32" ht="90">
      <c r="A114" s="919" t="s">
        <v>671</v>
      </c>
      <c r="D114" s="1565"/>
      <c r="E114" s="483" t="str">
        <f>FHD_NUM_P_74</f>
        <v>13</v>
      </c>
      <c r="F114" s="1806" t="str">
        <f>FHD_P_74</f>
        <v>Удельный расход электрической энергии на подачу воды в сеть</v>
      </c>
      <c r="G114" s="1802" t="s">
        <v>672</v>
      </c>
      <c r="H114" s="514"/>
      <c r="I114" s="514"/>
      <c r="J114" s="226" t="str">
        <f>FHD_NOTE_P_74</f>
        <v/>
      </c>
      <c r="K114" s="480"/>
      <c r="AF114" s="1558">
        <v>0</v>
      </c>
    </row>
    <row r="115" spans="1:32" ht="146.25">
      <c r="A115" s="2015" t="s">
        <v>673</v>
      </c>
      <c r="B115" s="840"/>
      <c r="C115" s="672"/>
      <c r="D115" s="670"/>
      <c r="E115" s="483" t="str">
        <f>FHD_NUM_P_75</f>
        <v>14</v>
      </c>
      <c r="F115" s="1806" t="str">
        <f>FHD_P_75</f>
        <v>Расход воды на собственные нужды, в том числе:</v>
      </c>
      <c r="G115" s="1802" t="s">
        <v>637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5"/>
      <c r="B116" s="840"/>
      <c r="C116" s="672"/>
      <c r="D116" s="670"/>
      <c r="E116" s="483" t="str">
        <f>FHD_NUM_P_76</f>
        <v>14.1</v>
      </c>
      <c r="F116" s="1806" t="str">
        <f>FHD_P_76</f>
        <v>Расход воды на хозяйственно-бытовые нужды</v>
      </c>
      <c r="G116" s="1802" t="s">
        <v>637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5"/>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637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15.0</v>
      </c>
      <c r="F118" s="927"/>
      <c r="G118" s="1578"/>
      <c r="H118" s="922"/>
      <c r="I118" s="922"/>
      <c r="J118" s="926"/>
      <c r="AF118" s="1563">
        <v>0</v>
      </c>
    </row>
    <row r="119" spans="1:32" ht="168.75">
      <c r="A119" s="2015"/>
      <c r="B119" s="840"/>
      <c r="C119" s="672"/>
      <c r="D119" s="683"/>
      <c r="E119" s="903"/>
      <c r="F119" s="904" t="s">
        <v>674</v>
      </c>
      <c r="G119" s="684"/>
      <c r="H119" s="685"/>
      <c r="I119" s="685"/>
      <c r="J119" s="933" t="s">
        <v>675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3" t="s">
        <v>676</v>
      </c>
      <c r="D120" s="1565"/>
      <c r="E120" s="483" t="str">
        <f>FHD_NUM_P_78</f>
        <v/>
      </c>
      <c r="F120" s="1806" t="str">
        <f>FHD_P_78</f>
        <v/>
      </c>
      <c r="G120" s="1803" t="s">
        <v>639</v>
      </c>
      <c r="H120" s="514"/>
      <c r="I120" s="514"/>
      <c r="J120" s="226" t="str">
        <f>FHD_NOTE_P_78</f>
        <v/>
      </c>
      <c r="K120" s="480"/>
      <c r="AF120" s="1558">
        <v>0</v>
      </c>
    </row>
    <row r="121" spans="1:32" ht="11.25">
      <c r="A121" s="2013"/>
      <c r="D121" s="485"/>
      <c r="E121" s="943" t="str">
        <f>E120&amp;".0"</f>
        <v>.0</v>
      </c>
      <c r="F121" s="927"/>
      <c r="G121" s="1578"/>
      <c r="H121" s="922"/>
      <c r="I121" s="922"/>
      <c r="J121" s="926"/>
      <c r="AF121" s="1563">
        <v>0</v>
      </c>
    </row>
    <row r="122" spans="1:32" ht="236.25">
      <c r="A122" s="2013"/>
      <c r="D122" s="1560"/>
      <c r="E122" s="507"/>
      <c r="F122" s="1095" t="s">
        <v>665</v>
      </c>
      <c r="G122" s="509"/>
      <c r="H122" s="510"/>
      <c r="I122" s="510"/>
      <c r="J122" s="934" t="s">
        <v>677</v>
      </c>
      <c r="K122" s="480"/>
      <c r="AF122" s="1558">
        <v>0</v>
      </c>
    </row>
    <row r="123" spans="1:32" ht="33.75">
      <c r="A123" s="2013"/>
      <c r="D123" s="1565"/>
      <c r="E123" s="483" t="str">
        <f>FHD_NUM_P_79</f>
        <v/>
      </c>
      <c r="F123" s="1806" t="str">
        <f>FHD_P_79</f>
        <v/>
      </c>
      <c r="G123" s="1804" t="s">
        <v>641</v>
      </c>
      <c r="H123" s="514"/>
      <c r="I123" s="514"/>
      <c r="J123" s="226" t="str">
        <f>FHD_NOTE_P_79</f>
        <v/>
      </c>
      <c r="K123" s="480"/>
      <c r="AF123" s="1558">
        <v>0</v>
      </c>
    </row>
    <row r="124" spans="1:32" ht="11.25">
      <c r="A124" s="2013"/>
      <c r="D124" s="485"/>
      <c r="E124" s="943" t="str">
        <f>E123&amp;".0"</f>
        <v>.0</v>
      </c>
      <c r="F124" s="928"/>
      <c r="G124" s="1578"/>
      <c r="H124" s="922"/>
      <c r="I124" s="922"/>
      <c r="J124" s="926"/>
      <c r="AF124" s="1563">
        <v>0</v>
      </c>
    </row>
    <row r="125" spans="1:32" ht="247.5">
      <c r="A125" s="2013"/>
      <c r="D125" s="1560"/>
      <c r="E125" s="507"/>
      <c r="F125" s="1095" t="s">
        <v>665</v>
      </c>
      <c r="G125" s="509"/>
      <c r="H125" s="510"/>
      <c r="I125" s="510"/>
      <c r="J125" s="934" t="s">
        <v>678</v>
      </c>
      <c r="K125" s="480"/>
      <c r="AF125" s="1558">
        <v>0</v>
      </c>
    </row>
    <row r="126" spans="1:32" ht="33.75">
      <c r="A126" s="2013"/>
      <c r="D126" s="1565"/>
      <c r="E126" s="483" t="str">
        <f>FHD_NUM_P_80</f>
        <v/>
      </c>
      <c r="F126" s="1806" t="str">
        <f>FHD_P_80</f>
        <v/>
      </c>
      <c r="G126" s="1804" t="s">
        <v>679</v>
      </c>
      <c r="H126" s="494"/>
      <c r="I126" s="494"/>
      <c r="J126" s="226" t="str">
        <f>FHD_NOTE_P_80</f>
        <v/>
      </c>
      <c r="K126" s="480"/>
      <c r="AF126" s="1558">
        <v>0</v>
      </c>
    </row>
    <row r="127" spans="1:32" ht="22.5">
      <c r="A127" s="2013"/>
      <c r="D127" s="1565"/>
      <c r="E127" s="483" t="str">
        <f>FHD_NUM_P_81</f>
        <v/>
      </c>
      <c r="F127" s="1806" t="str">
        <f>FHD_P_81</f>
        <v/>
      </c>
      <c r="G127" s="1804" t="s">
        <v>680</v>
      </c>
      <c r="H127" s="494"/>
      <c r="I127" s="494"/>
      <c r="J127" s="226" t="str">
        <f>FHD_NOTE_P_81</f>
        <v/>
      </c>
      <c r="K127" s="480"/>
      <c r="AF127" s="1558">
        <v>0</v>
      </c>
    </row>
    <row r="128" spans="1:32" ht="18.75">
      <c r="A128" s="2013"/>
      <c r="C128" s="1563" t="s">
        <v>667</v>
      </c>
      <c r="D128" s="1565"/>
      <c r="E128" s="483" t="str">
        <f>FHD_NUM_P_82</f>
        <v/>
      </c>
      <c r="F128" s="1806" t="str">
        <f>FHD_P_82</f>
        <v/>
      </c>
      <c r="G128" s="1804" t="s">
        <v>386</v>
      </c>
      <c r="H128" s="338"/>
      <c r="I128" s="338"/>
      <c r="J128" s="226" t="str">
        <f>FHD_NOTE_P_82</f>
        <v/>
      </c>
      <c r="K128" s="480"/>
      <c r="AF128" s="1558">
        <v>0</v>
      </c>
    </row>
    <row r="129" spans="1:32" ht="18.75">
      <c r="A129" s="2013"/>
      <c r="C129" s="1563" t="s">
        <v>667</v>
      </c>
      <c r="D129" s="1565"/>
      <c r="E129" s="483" t="str">
        <f>FHD_NUM_P_83</f>
        <v/>
      </c>
      <c r="F129" s="1451" t="str">
        <f>FHD_P_83</f>
        <v/>
      </c>
      <c r="G129" s="1804" t="s">
        <v>386</v>
      </c>
      <c r="H129" s="338"/>
      <c r="I129" s="338"/>
      <c r="J129" s="226" t="str">
        <f>FHD_NOTE_P_83</f>
        <v/>
      </c>
      <c r="K129" s="480"/>
      <c r="AF129" s="1558">
        <v>0</v>
      </c>
    </row>
    <row r="130" spans="1:32" ht="18.75">
      <c r="A130" s="2013"/>
      <c r="C130" s="1563" t="s">
        <v>667</v>
      </c>
      <c r="D130" s="1565"/>
      <c r="E130" s="483" t="str">
        <f>FHD_NUM_P_84</f>
        <v/>
      </c>
      <c r="F130" s="1451" t="str">
        <f>FHD_P_84</f>
        <v/>
      </c>
      <c r="G130" s="1804" t="s">
        <v>386</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58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82"/>
      <c r="G5" s="2582"/>
      <c r="H5" s="2582"/>
      <c r="I5" s="2582"/>
      <c r="J5" s="2582"/>
      <c r="K5" s="2582"/>
      <c r="L5" s="550"/>
      <c r="M5" s="550"/>
      <c r="CF5" s="442">
        <v>28</v>
      </c>
    </row>
    <row r="6" spans="1:84" s="1562" customFormat="1" ht="16.899999999999999" customHeight="1">
      <c r="A6" s="547"/>
      <c r="B6" s="694"/>
      <c r="C6" s="446"/>
      <c r="D6" s="988"/>
      <c r="E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555"/>
      <c r="G6" s="2555"/>
      <c r="H6" s="2555"/>
      <c r="I6" s="2555"/>
      <c r="J6" s="2555"/>
      <c r="K6" s="255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442" t="s">
        <v>380</v>
      </c>
      <c r="F9" s="2448"/>
      <c r="G9" s="2448"/>
      <c r="H9" s="2448"/>
      <c r="I9" s="2448"/>
      <c r="J9" s="2448"/>
      <c r="K9" s="2448"/>
      <c r="L9" s="2448"/>
      <c r="M9" s="2448"/>
      <c r="N9" s="2448"/>
      <c r="O9" s="2448"/>
      <c r="P9" s="2448"/>
      <c r="Q9" s="2448"/>
      <c r="R9" s="2441"/>
      <c r="S9" s="2461" t="s">
        <v>381</v>
      </c>
      <c r="T9" s="271"/>
      <c r="CF9" s="442">
        <v>19</v>
      </c>
    </row>
    <row r="10" spans="1:84" ht="48.2" customHeight="1">
      <c r="D10" s="488" t="s">
        <v>88</v>
      </c>
      <c r="E10" s="2461" t="s">
        <v>88</v>
      </c>
      <c r="F10" s="2461"/>
      <c r="G10" s="458" t="s">
        <v>382</v>
      </c>
      <c r="H10" s="2461" t="s">
        <v>88</v>
      </c>
      <c r="I10" s="2461"/>
      <c r="J10" s="458" t="s">
        <v>681</v>
      </c>
      <c r="K10" s="458" t="s">
        <v>682</v>
      </c>
      <c r="L10" s="2461" t="s">
        <v>88</v>
      </c>
      <c r="M10" s="2461"/>
      <c r="N10" s="458" t="s">
        <v>683</v>
      </c>
      <c r="O10" s="458" t="s">
        <v>684</v>
      </c>
      <c r="P10" s="458" t="s">
        <v>685</v>
      </c>
      <c r="Q10" s="458" t="s">
        <v>686</v>
      </c>
      <c r="R10" s="458" t="s">
        <v>687</v>
      </c>
      <c r="S10" s="2461"/>
      <c r="T10" s="271"/>
      <c r="CF10" s="442">
        <v>46</v>
      </c>
    </row>
    <row r="11" spans="1:84" s="1569" customFormat="1" ht="15" hidden="1" customHeight="1">
      <c r="A11" s="982"/>
      <c r="D11" s="955" t="s">
        <v>177</v>
      </c>
      <c r="E11" s="955"/>
      <c r="F11" s="955" t="s">
        <v>102</v>
      </c>
      <c r="G11" s="955" t="s">
        <v>90</v>
      </c>
      <c r="H11" s="955"/>
      <c r="I11" s="955" t="s">
        <v>91</v>
      </c>
      <c r="J11" s="955" t="s">
        <v>127</v>
      </c>
      <c r="K11" s="955" t="s">
        <v>92</v>
      </c>
      <c r="L11" s="955"/>
      <c r="M11" s="955" t="s">
        <v>93</v>
      </c>
      <c r="N11" s="955" t="s">
        <v>178</v>
      </c>
      <c r="O11" s="955" t="s">
        <v>214</v>
      </c>
      <c r="P11" s="955" t="s">
        <v>215</v>
      </c>
      <c r="Q11" s="955" t="s">
        <v>216</v>
      </c>
      <c r="R11" s="955" t="s">
        <v>217</v>
      </c>
      <c r="S11" s="955" t="s">
        <v>218</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456</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183</v>
      </c>
      <c r="B14" s="561"/>
      <c r="C14" s="561"/>
      <c r="D14" s="2686" t="s">
        <v>177</v>
      </c>
      <c r="E14" s="2693" t="s">
        <v>173</v>
      </c>
      <c r="F14" s="2694"/>
      <c r="G14" s="2695"/>
      <c r="H14" s="2689">
        <f>IF(A14="","",INDEX(DIFFERENTIATION_UNMERGE_VD,MATCH(A14,DIFFERENTIATION_ID_DIFF,0)))</f>
        <v>0</v>
      </c>
      <c r="I14" s="2689"/>
      <c r="J14" s="2689"/>
      <c r="K14" s="2689"/>
      <c r="L14" s="2689"/>
      <c r="M14" s="2689"/>
      <c r="N14" s="2689"/>
      <c r="O14" s="2689"/>
      <c r="P14" s="2689"/>
      <c r="Q14" s="2689"/>
      <c r="R14" s="2689"/>
      <c r="S14" s="656"/>
      <c r="T14" s="653"/>
      <c r="U14" s="562"/>
      <c r="V14" s="562"/>
      <c r="W14" s="563"/>
      <c r="X14" s="563"/>
      <c r="Y14" s="563"/>
      <c r="Z14" s="563"/>
      <c r="AA14" s="564"/>
      <c r="AB14" s="565"/>
      <c r="AC14" s="2692"/>
      <c r="AD14" s="566"/>
      <c r="AE14" s="567" t="s">
        <v>28</v>
      </c>
      <c r="AF14" s="567"/>
      <c r="AG14" s="568" t="s">
        <v>688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687"/>
      <c r="E15" s="2693" t="s">
        <v>643</v>
      </c>
      <c r="F15" s="2694"/>
      <c r="G15" s="2695"/>
      <c r="H15" s="2689" t="str">
        <f>IF(A14="","",INDEX(DIFFERENTIATION_UNMERGE_AREA,MATCH(A14,DIFFERENTIATION_ID_DIFF,0)))</f>
        <v/>
      </c>
      <c r="I15" s="2689"/>
      <c r="J15" s="2689"/>
      <c r="K15" s="2689"/>
      <c r="L15" s="2689"/>
      <c r="M15" s="2689"/>
      <c r="N15" s="2689"/>
      <c r="O15" s="2689"/>
      <c r="P15" s="2689"/>
      <c r="Q15" s="2689"/>
      <c r="R15" s="2689"/>
      <c r="S15" s="656"/>
      <c r="T15" s="653"/>
      <c r="U15" s="562"/>
      <c r="V15" s="562"/>
      <c r="W15" s="563"/>
      <c r="X15" s="563"/>
      <c r="Y15" s="563"/>
      <c r="Z15" s="563"/>
      <c r="AA15" s="564"/>
      <c r="AB15" s="565"/>
      <c r="AC15" s="269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687"/>
      <c r="E16" s="2693" t="s">
        <v>644</v>
      </c>
      <c r="F16" s="2694"/>
      <c r="G16" s="2695"/>
      <c r="H16" s="2689" t="str">
        <f>IF(A14="","",INDEX(DIFFERENTIATION_UNMERGE_SYSTEM,MATCH(A14,DIFFERENTIATION_ID_DIFF,0)))</f>
        <v>без дифференциации</v>
      </c>
      <c r="I16" s="2689"/>
      <c r="J16" s="2689"/>
      <c r="K16" s="2689"/>
      <c r="L16" s="2689"/>
      <c r="M16" s="2689"/>
      <c r="N16" s="2689"/>
      <c r="O16" s="2689"/>
      <c r="P16" s="2689"/>
      <c r="Q16" s="2689"/>
      <c r="R16" s="2689"/>
      <c r="S16" s="656"/>
      <c r="T16" s="653"/>
      <c r="U16" s="562"/>
      <c r="V16" s="562"/>
      <c r="W16" s="563"/>
      <c r="X16" s="563"/>
      <c r="Y16" s="563"/>
      <c r="Z16" s="563"/>
      <c r="AA16" s="564"/>
      <c r="AB16" s="565"/>
      <c r="AC16" s="269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687"/>
      <c r="E17" s="2691" t="s">
        <v>689</v>
      </c>
      <c r="F17" s="2691"/>
      <c r="G17" s="2691"/>
      <c r="H17" s="2691"/>
      <c r="I17" s="2691"/>
      <c r="J17" s="2691"/>
      <c r="K17" s="2691"/>
      <c r="L17" s="2691"/>
      <c r="M17" s="2691"/>
      <c r="N17" s="2691"/>
      <c r="O17" s="2691"/>
      <c r="P17" s="2691"/>
      <c r="Q17" s="495">
        <f>SUMIF(T18:T19,"i",Q18:Q19)</f>
        <v>0</v>
      </c>
      <c r="R17" s="947"/>
      <c r="S17" s="827" t="s">
        <v>690</v>
      </c>
      <c r="T17" s="654" t="s">
        <v>691</v>
      </c>
      <c r="U17" s="2605">
        <v>1</v>
      </c>
      <c r="V17" s="2605" t="str">
        <f>INDEX(B_FHD_FLAG_INDEX_1,1,MATCH(A14,B_FHD_FLAG_DIFFERENTIATION,0))</f>
        <v>отсутствует</v>
      </c>
      <c r="W17" s="354"/>
      <c r="X17" s="354"/>
      <c r="Y17" s="354"/>
      <c r="Z17" s="354"/>
      <c r="AA17" s="448"/>
      <c r="AB17" s="354"/>
      <c r="AC17" s="269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687"/>
      <c r="E18" s="572"/>
      <c r="F18" s="572">
        <v>0</v>
      </c>
      <c r="G18" s="572"/>
      <c r="H18" s="572"/>
      <c r="I18" s="572"/>
      <c r="J18" s="572"/>
      <c r="K18" s="572"/>
      <c r="L18" s="572"/>
      <c r="M18" s="572"/>
      <c r="N18" s="572"/>
      <c r="O18" s="572"/>
      <c r="P18" s="572"/>
      <c r="Q18" s="572"/>
      <c r="R18" s="572"/>
      <c r="S18" s="573"/>
      <c r="T18" s="655"/>
      <c r="U18" s="2605"/>
      <c r="V18" s="2605"/>
      <c r="W18" s="448"/>
      <c r="X18" s="448"/>
      <c r="Y18" s="448"/>
      <c r="Z18" s="448"/>
      <c r="AA18" s="448"/>
      <c r="AB18" s="354"/>
      <c r="AC18" s="269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687"/>
      <c r="E19" s="586" t="s">
        <v>28</v>
      </c>
      <c r="F19" s="587" t="s">
        <v>28</v>
      </c>
      <c r="G19" s="587" t="s">
        <v>28</v>
      </c>
      <c r="H19" s="588" t="s">
        <v>28</v>
      </c>
      <c r="I19" s="588"/>
      <c r="J19" s="588"/>
      <c r="K19" s="588"/>
      <c r="L19" s="588"/>
      <c r="M19" s="588"/>
      <c r="N19" s="588"/>
      <c r="O19" s="588"/>
      <c r="P19" s="588"/>
      <c r="Q19" s="588"/>
      <c r="R19" s="589"/>
      <c r="S19" s="950"/>
      <c r="T19" s="655"/>
      <c r="U19" s="2605"/>
      <c r="V19" s="2605"/>
      <c r="W19" s="354"/>
      <c r="X19" s="354"/>
      <c r="Y19" s="354"/>
      <c r="Z19" s="354"/>
      <c r="AA19" s="448"/>
      <c r="AB19" s="354"/>
      <c r="AC19" s="269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687"/>
      <c r="E20" s="2691" t="s">
        <v>692</v>
      </c>
      <c r="F20" s="2691"/>
      <c r="G20" s="2691"/>
      <c r="H20" s="2691"/>
      <c r="I20" s="2691"/>
      <c r="J20" s="2691"/>
      <c r="K20" s="2691"/>
      <c r="L20" s="2691"/>
      <c r="M20" s="2691"/>
      <c r="N20" s="2691"/>
      <c r="O20" s="2691"/>
      <c r="P20" s="2691"/>
      <c r="Q20" s="495">
        <f>SUMIF(T21:T22,"i",Q21:Q22)</f>
        <v>0</v>
      </c>
      <c r="R20" s="947"/>
      <c r="S20" s="646" t="s">
        <v>693</v>
      </c>
      <c r="T20" s="654" t="s">
        <v>691</v>
      </c>
      <c r="U20" s="2605">
        <v>2</v>
      </c>
      <c r="V20" s="260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687"/>
      <c r="E21" s="572"/>
      <c r="F21" s="572">
        <v>0</v>
      </c>
      <c r="G21" s="572"/>
      <c r="H21" s="572"/>
      <c r="I21" s="572"/>
      <c r="J21" s="572"/>
      <c r="K21" s="572"/>
      <c r="L21" s="572"/>
      <c r="M21" s="572"/>
      <c r="N21" s="572"/>
      <c r="O21" s="572"/>
      <c r="P21" s="572"/>
      <c r="Q21" s="572"/>
      <c r="R21" s="572"/>
      <c r="S21" s="573"/>
      <c r="T21" s="655"/>
      <c r="U21" s="2605"/>
      <c r="V21" s="260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688"/>
      <c r="E22" s="586" t="s">
        <v>28</v>
      </c>
      <c r="F22" s="587" t="s">
        <v>28</v>
      </c>
      <c r="G22" s="587" t="s">
        <v>28</v>
      </c>
      <c r="H22" s="588" t="s">
        <v>28</v>
      </c>
      <c r="I22" s="588"/>
      <c r="J22" s="588"/>
      <c r="K22" s="588"/>
      <c r="L22" s="588"/>
      <c r="M22" s="588"/>
      <c r="N22" s="588"/>
      <c r="O22" s="588"/>
      <c r="P22" s="588"/>
      <c r="Q22" s="588"/>
      <c r="R22" s="589"/>
      <c r="S22" s="950"/>
      <c r="T22" s="655"/>
      <c r="U22" s="2605"/>
      <c r="V22" s="260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690"/>
      <c r="F27" s="2690"/>
      <c r="G27" s="2690"/>
      <c r="H27" s="2690"/>
      <c r="I27" s="2690"/>
      <c r="J27" s="2690"/>
      <c r="K27" s="2690"/>
      <c r="L27" s="2690"/>
      <c r="M27" s="2690"/>
      <c r="N27" s="2690"/>
      <c r="O27" s="2690"/>
      <c r="P27" s="2690"/>
      <c r="Q27" s="2690"/>
      <c r="R27" s="2690"/>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694</v>
      </c>
      <c r="C2" s="1976" t="s">
        <v>695</v>
      </c>
      <c r="D2" s="1975" t="s">
        <v>696</v>
      </c>
      <c r="E2" s="1979" t="e">
        <f>RIGHT(I2,LEN(I2)-SEARCH("#",SUBSTITUTE(I2,".","#",LEN(I2)-LEN(SUBSTITUTE(I2,".","")))))</f>
        <v>#VALUE!</v>
      </c>
      <c r="F2" s="1981">
        <f>J2</f>
        <v>0</v>
      </c>
      <c r="G2" s="1563"/>
      <c r="H2" s="1982"/>
      <c r="I2" s="1972"/>
      <c r="J2" s="477"/>
      <c r="K2" s="1942" t="s">
        <v>635</v>
      </c>
      <c r="L2" s="688"/>
      <c r="M2" s="688"/>
      <c r="N2" s="480"/>
      <c r="O2" s="1452" t="s">
        <v>636</v>
      </c>
      <c r="P2" s="480"/>
      <c r="Q2" s="1563"/>
      <c r="R2" s="1563"/>
      <c r="W2" s="1563"/>
      <c r="Z2" s="481"/>
      <c r="AF2" s="1559"/>
      <c r="AG2" s="1559"/>
      <c r="AH2" s="1559"/>
      <c r="AI2" s="1559"/>
      <c r="AJ2" s="1559"/>
      <c r="AK2" s="1293">
        <v>0</v>
      </c>
    </row>
    <row r="3" spans="1:37" ht="11.25" hidden="1" customHeight="1">
      <c r="E3" s="1974" t="s">
        <v>697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534" t="s">
        <v>698</v>
      </c>
      <c r="J6" s="2534"/>
      <c r="K6" s="2534"/>
      <c r="L6" s="2534"/>
      <c r="M6" s="2534"/>
      <c r="O6" s="493"/>
      <c r="AK6" s="1558">
        <v>55</v>
      </c>
    </row>
    <row r="7" spans="1:37" ht="25.15" customHeight="1">
      <c r="I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555"/>
      <c r="K7" s="2555"/>
      <c r="L7" s="2555"/>
      <c r="M7" s="255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183</v>
      </c>
      <c r="AK9" s="1563">
        <v>1</v>
      </c>
    </row>
    <row r="10" spans="1:37" ht="11.45" customHeight="1">
      <c r="E10" s="1973" t="s">
        <v>699</v>
      </c>
      <c r="I10" s="648"/>
      <c r="J10" s="2696" t="s">
        <v>173</v>
      </c>
      <c r="K10" s="2697"/>
      <c r="L10" s="1952" t="str">
        <f>IF(L9="","",INDEX(DIFFERENTIATION_UNMERGE_VD,MATCH(L9,DIFFERENTIATION_ID_DIFF,0)))</f>
        <v/>
      </c>
      <c r="M10" s="1952">
        <f>IF(M9="","",INDEX(DIFFERENTIATION_UNMERGE_VD,MATCH(M9,DIFFERENTIATION_ID_DIFF,0)))</f>
        <v>0</v>
      </c>
      <c r="O10" s="2461" t="s">
        <v>381</v>
      </c>
      <c r="AK10" s="1558">
        <v>11</v>
      </c>
    </row>
    <row r="11" spans="1:37" ht="11.45" customHeight="1">
      <c r="E11" s="1973" t="s">
        <v>700</v>
      </c>
      <c r="I11" s="648"/>
      <c r="J11" s="2696" t="s">
        <v>643</v>
      </c>
      <c r="K11" s="2697"/>
      <c r="L11" s="1952" t="str">
        <f>IF(L9="","",INDEX(DIFFERENTIATION_UNMERGE_AREA,MATCH(L9,DIFFERENTIATION_ID_DIFF,0)))</f>
        <v/>
      </c>
      <c r="M11" s="1952" t="str">
        <f>IF(M9="","",INDEX(DIFFERENTIATION_UNMERGE_AREA,MATCH(M9,DIFFERENTIATION_ID_DIFF,0)))</f>
        <v/>
      </c>
      <c r="O11" s="2461"/>
      <c r="AK11" s="1558">
        <v>11</v>
      </c>
    </row>
    <row r="12" spans="1:37" ht="11.45" customHeight="1">
      <c r="E12" s="1973" t="s">
        <v>701</v>
      </c>
      <c r="I12" s="1589"/>
      <c r="J12" s="2696" t="s">
        <v>644</v>
      </c>
      <c r="K12" s="2697"/>
      <c r="L12" s="1952" t="str">
        <f>IF(L9="","",INDEX(DIFFERENTIATION_UNMERGE_SYSTEM,MATCH(L9,DIFFERENTIATION_ID_DIFF,0)))</f>
        <v/>
      </c>
      <c r="M12" s="1952" t="str">
        <f>IF(M9="","",INDEX(DIFFERENTIATION_UNMERGE_SYSTEM,MATCH(M9,DIFFERENTIATION_ID_DIFF,0)))</f>
        <v>без дифференциации</v>
      </c>
      <c r="O12" s="2461"/>
      <c r="AK12" s="1558">
        <v>11</v>
      </c>
    </row>
    <row r="13" spans="1:37" ht="11.45" customHeight="1">
      <c r="E13" s="1973" t="s">
        <v>702</v>
      </c>
      <c r="F13" s="1973" t="s">
        <v>703</v>
      </c>
      <c r="I13" s="2698" t="s">
        <v>380</v>
      </c>
      <c r="J13" s="2699"/>
      <c r="K13" s="2699"/>
      <c r="L13" s="1950"/>
      <c r="M13" s="1990"/>
      <c r="O13" s="2461"/>
      <c r="AK13" s="1558">
        <v>11</v>
      </c>
    </row>
    <row r="14" spans="1:37" ht="24" customHeight="1">
      <c r="I14" s="1943" t="s">
        <v>88</v>
      </c>
      <c r="J14" s="1943" t="s">
        <v>382</v>
      </c>
      <c r="K14" s="1943" t="s">
        <v>645</v>
      </c>
      <c r="L14" s="1983" t="s">
        <v>383</v>
      </c>
      <c r="M14" s="1984" t="s">
        <v>383</v>
      </c>
      <c r="O14" s="2461"/>
      <c r="AK14" s="1558">
        <v>23</v>
      </c>
    </row>
    <row r="15" spans="1:37" ht="24" customHeight="1">
      <c r="A15" s="1977"/>
      <c r="B15" s="1976" t="s">
        <v>704</v>
      </c>
      <c r="C15" s="1976" t="s">
        <v>705</v>
      </c>
      <c r="D15" s="1975" t="s">
        <v>706</v>
      </c>
      <c r="E15" s="1979" t="s">
        <v>707</v>
      </c>
      <c r="F15" s="1979" t="s">
        <v>707</v>
      </c>
      <c r="G15" s="1563" t="s">
        <v>667</v>
      </c>
      <c r="H15" s="1944"/>
      <c r="I15" s="1557">
        <v>1</v>
      </c>
      <c r="J15" s="1945" t="s">
        <v>708</v>
      </c>
      <c r="K15" s="1943" t="s">
        <v>386</v>
      </c>
      <c r="L15" s="599"/>
      <c r="M15" s="749"/>
      <c r="N15" s="480" t="s">
        <v>709</v>
      </c>
      <c r="O15" s="1452" t="s">
        <v>710</v>
      </c>
      <c r="P15" s="480" t="s">
        <v>709</v>
      </c>
      <c r="AK15" s="1558">
        <v>23</v>
      </c>
    </row>
    <row r="16" spans="1:37" ht="35.65" customHeight="1">
      <c r="A16" s="1977"/>
      <c r="B16" s="1976" t="s">
        <v>711</v>
      </c>
      <c r="C16" s="1976" t="s">
        <v>712</v>
      </c>
      <c r="D16" s="1975" t="s">
        <v>696</v>
      </c>
      <c r="E16" s="1979" t="s">
        <v>707</v>
      </c>
      <c r="F16" s="1979" t="s">
        <v>707</v>
      </c>
      <c r="H16" s="1944"/>
      <c r="I16" s="1556">
        <v>2</v>
      </c>
      <c r="J16" s="1986" t="s">
        <v>713</v>
      </c>
      <c r="K16" s="1985" t="s">
        <v>635</v>
      </c>
      <c r="L16" s="1991"/>
      <c r="M16" s="1603"/>
      <c r="N16" s="480" t="s">
        <v>709</v>
      </c>
      <c r="O16" s="1452" t="s">
        <v>714</v>
      </c>
      <c r="P16" s="480" t="s">
        <v>709</v>
      </c>
      <c r="AK16" s="1558">
        <v>34</v>
      </c>
    </row>
    <row r="17" spans="1:37" s="1569" customFormat="1" ht="17.25" hidden="1" customHeight="1">
      <c r="A17" s="1094"/>
      <c r="B17" s="1094"/>
      <c r="C17" s="1094"/>
      <c r="D17" s="1094"/>
      <c r="E17" s="1094"/>
      <c r="H17" s="1251"/>
      <c r="I17" s="943" t="s">
        <v>715</v>
      </c>
      <c r="J17" s="921"/>
      <c r="K17" s="943"/>
      <c r="L17" s="922"/>
      <c r="M17" s="922"/>
      <c r="O17" s="1312"/>
      <c r="AK17" s="1563">
        <v>1</v>
      </c>
    </row>
    <row r="18" spans="1:37" s="1293" customFormat="1" ht="24" customHeight="1">
      <c r="A18" s="917"/>
      <c r="B18" s="917"/>
      <c r="C18" s="917"/>
      <c r="D18" s="917"/>
      <c r="E18" s="917"/>
      <c r="G18" s="1563"/>
      <c r="H18" s="1560"/>
      <c r="I18" s="507"/>
      <c r="J18" s="508" t="s">
        <v>665</v>
      </c>
      <c r="K18" s="509"/>
      <c r="L18" s="1993"/>
      <c r="M18" s="510"/>
      <c r="N18" s="480"/>
      <c r="O18" s="1452" t="s">
        <v>666</v>
      </c>
      <c r="P18" s="480"/>
      <c r="Q18" s="1563"/>
      <c r="R18" s="1563"/>
      <c r="W18" s="1563"/>
      <c r="Z18" s="481"/>
      <c r="AF18" s="1559"/>
      <c r="AG18" s="1559"/>
      <c r="AH18" s="1559"/>
      <c r="AI18" s="1559"/>
      <c r="AJ18" s="1559"/>
      <c r="AK18" s="1293">
        <v>23</v>
      </c>
    </row>
    <row r="19" spans="1:37" ht="19.899999999999999" customHeight="1">
      <c r="A19" s="1977"/>
      <c r="B19" s="1976" t="s">
        <v>716</v>
      </c>
      <c r="C19" s="1976" t="s">
        <v>717</v>
      </c>
      <c r="D19" s="1975" t="s">
        <v>696</v>
      </c>
      <c r="E19" s="1979" t="s">
        <v>707</v>
      </c>
      <c r="F19" s="1979" t="s">
        <v>707</v>
      </c>
      <c r="H19" s="1944"/>
      <c r="I19" s="1591">
        <v>3</v>
      </c>
      <c r="J19" s="1945" t="s">
        <v>717</v>
      </c>
      <c r="K19" s="1941" t="s">
        <v>635</v>
      </c>
      <c r="L19" s="664"/>
      <c r="M19" s="494"/>
      <c r="N19" s="480"/>
      <c r="O19" s="1452" t="s">
        <v>718</v>
      </c>
      <c r="P19" s="480"/>
      <c r="AK19" s="1558">
        <v>19</v>
      </c>
    </row>
    <row r="20" spans="1:37" ht="77.650000000000006" customHeight="1">
      <c r="A20" s="1977"/>
      <c r="B20" s="1976" t="s">
        <v>719</v>
      </c>
      <c r="C20" s="1976" t="s">
        <v>720</v>
      </c>
      <c r="D20" s="1975" t="s">
        <v>696</v>
      </c>
      <c r="E20" s="1979" t="s">
        <v>707</v>
      </c>
      <c r="F20" s="1979" t="s">
        <v>707</v>
      </c>
      <c r="H20" s="1944"/>
      <c r="I20" s="1591">
        <v>4</v>
      </c>
      <c r="J20" s="1945" t="s">
        <v>721</v>
      </c>
      <c r="K20" s="1941" t="s">
        <v>662</v>
      </c>
      <c r="L20" s="664"/>
      <c r="M20" s="494"/>
      <c r="N20" s="480"/>
      <c r="O20" s="1452"/>
      <c r="P20" s="480"/>
      <c r="AK20" s="1558">
        <v>74</v>
      </c>
    </row>
    <row r="21" spans="1:37" ht="35.65" customHeight="1">
      <c r="A21" s="1977"/>
      <c r="B21" s="1976" t="s">
        <v>722</v>
      </c>
      <c r="C21" s="1976" t="s">
        <v>723</v>
      </c>
      <c r="D21" s="1975" t="s">
        <v>696</v>
      </c>
      <c r="E21" s="1979" t="s">
        <v>707</v>
      </c>
      <c r="F21" s="1979" t="s">
        <v>707</v>
      </c>
      <c r="H21" s="1944"/>
      <c r="I21" s="1591">
        <v>5</v>
      </c>
      <c r="J21" s="1945" t="s">
        <v>724</v>
      </c>
      <c r="K21" s="1941" t="s">
        <v>662</v>
      </c>
      <c r="L21" s="664"/>
      <c r="M21" s="494"/>
      <c r="N21" s="480"/>
      <c r="O21" s="1452" t="s">
        <v>718</v>
      </c>
      <c r="P21" s="480"/>
      <c r="AK21" s="1558">
        <v>34</v>
      </c>
    </row>
    <row r="22" spans="1:37" ht="48.2" customHeight="1">
      <c r="A22" s="1977"/>
      <c r="B22" s="1976" t="s">
        <v>725</v>
      </c>
      <c r="C22" s="1976" t="s">
        <v>726</v>
      </c>
      <c r="D22" s="1975" t="s">
        <v>696</v>
      </c>
      <c r="E22" s="1979" t="s">
        <v>707</v>
      </c>
      <c r="F22" s="1979" t="s">
        <v>707</v>
      </c>
      <c r="H22" s="1944"/>
      <c r="I22" s="1591">
        <v>6</v>
      </c>
      <c r="J22" s="1945" t="s">
        <v>727</v>
      </c>
      <c r="K22" s="1941" t="s">
        <v>662</v>
      </c>
      <c r="L22" s="664"/>
      <c r="M22" s="494"/>
      <c r="N22" s="480"/>
      <c r="O22" s="1452" t="s">
        <v>728</v>
      </c>
      <c r="P22" s="480"/>
      <c r="AK22" s="1558">
        <v>46</v>
      </c>
    </row>
    <row r="23" spans="1:37" ht="19.899999999999999" customHeight="1">
      <c r="A23" s="1977"/>
      <c r="B23" s="1976" t="s">
        <v>729</v>
      </c>
      <c r="C23" s="1976" t="s">
        <v>730</v>
      </c>
      <c r="D23" s="1975" t="s">
        <v>696</v>
      </c>
      <c r="E23" s="1979" t="s">
        <v>707</v>
      </c>
      <c r="F23" s="1979" t="s">
        <v>707</v>
      </c>
      <c r="H23" s="1944"/>
      <c r="I23" s="1591" t="s">
        <v>731</v>
      </c>
      <c r="J23" s="1451" t="s">
        <v>732</v>
      </c>
      <c r="K23" s="1941" t="s">
        <v>662</v>
      </c>
      <c r="L23" s="664"/>
      <c r="M23" s="494"/>
      <c r="N23" s="480"/>
      <c r="O23" s="1452" t="s">
        <v>718</v>
      </c>
      <c r="P23" s="480"/>
      <c r="AK23" s="1558">
        <v>19</v>
      </c>
    </row>
    <row r="24" spans="1:37" ht="19.899999999999999" customHeight="1">
      <c r="A24" s="1977"/>
      <c r="B24" s="1976" t="s">
        <v>733</v>
      </c>
      <c r="C24" s="1976" t="s">
        <v>734</v>
      </c>
      <c r="D24" s="1975" t="s">
        <v>696</v>
      </c>
      <c r="E24" s="1979" t="s">
        <v>707</v>
      </c>
      <c r="F24" s="1979" t="s">
        <v>707</v>
      </c>
      <c r="H24" s="1944"/>
      <c r="I24" s="1591" t="s">
        <v>735</v>
      </c>
      <c r="J24" s="1451" t="s">
        <v>736</v>
      </c>
      <c r="K24" s="1941" t="s">
        <v>662</v>
      </c>
      <c r="L24" s="664"/>
      <c r="M24" s="494"/>
      <c r="N24" s="480"/>
      <c r="O24" s="1452"/>
      <c r="P24" s="480"/>
      <c r="AK24" s="1558">
        <v>19</v>
      </c>
    </row>
    <row r="25" spans="1:37" ht="24" customHeight="1">
      <c r="A25" s="1977"/>
      <c r="B25" s="1976" t="s">
        <v>737</v>
      </c>
      <c r="C25" s="1976" t="s">
        <v>738</v>
      </c>
      <c r="D25" s="1975" t="s">
        <v>696</v>
      </c>
      <c r="E25" s="1979" t="s">
        <v>707</v>
      </c>
      <c r="F25" s="1979" t="s">
        <v>707</v>
      </c>
      <c r="H25" s="1944"/>
      <c r="I25" s="1591" t="s">
        <v>739</v>
      </c>
      <c r="J25" s="1451" t="s">
        <v>740</v>
      </c>
      <c r="K25" s="1941" t="s">
        <v>662</v>
      </c>
      <c r="L25" s="664"/>
      <c r="M25" s="494"/>
      <c r="N25" s="480"/>
      <c r="O25" s="1452"/>
      <c r="P25" s="480"/>
      <c r="AK25" s="1558">
        <v>23</v>
      </c>
    </row>
    <row r="26" spans="1:37" ht="24" customHeight="1">
      <c r="A26" s="1977"/>
      <c r="B26" s="1976" t="s">
        <v>741</v>
      </c>
      <c r="C26" s="1976" t="s">
        <v>742</v>
      </c>
      <c r="D26" s="1975" t="s">
        <v>696</v>
      </c>
      <c r="E26" s="1979" t="s">
        <v>707</v>
      </c>
      <c r="F26" s="1979" t="s">
        <v>707</v>
      </c>
      <c r="H26" s="1944"/>
      <c r="I26" s="1591">
        <v>7</v>
      </c>
      <c r="J26" s="1945" t="s">
        <v>742</v>
      </c>
      <c r="K26" s="1941" t="s">
        <v>743</v>
      </c>
      <c r="L26" s="664"/>
      <c r="M26" s="494"/>
      <c r="N26" s="480"/>
      <c r="O26" s="1452"/>
      <c r="P26" s="480"/>
      <c r="AK26" s="1558">
        <v>23</v>
      </c>
    </row>
    <row r="27" spans="1:37" ht="24" customHeight="1">
      <c r="A27" s="1977"/>
      <c r="B27" s="1976" t="s">
        <v>744</v>
      </c>
      <c r="C27" s="1976" t="s">
        <v>745</v>
      </c>
      <c r="D27" s="1975" t="s">
        <v>696</v>
      </c>
      <c r="E27" s="1979" t="s">
        <v>707</v>
      </c>
      <c r="F27" s="1979" t="s">
        <v>707</v>
      </c>
      <c r="H27" s="1944"/>
      <c r="I27" s="1591">
        <v>8</v>
      </c>
      <c r="J27" s="1945" t="s">
        <v>745</v>
      </c>
      <c r="K27" s="1941" t="s">
        <v>668</v>
      </c>
      <c r="L27" s="664"/>
      <c r="M27" s="494"/>
      <c r="N27" s="480"/>
      <c r="O27" s="1452"/>
      <c r="P27" s="480"/>
      <c r="AK27" s="1558">
        <v>23</v>
      </c>
    </row>
    <row r="28" spans="1:37" ht="35.65" customHeight="1">
      <c r="A28" s="1977"/>
      <c r="B28" s="1976" t="s">
        <v>746</v>
      </c>
      <c r="C28" s="1976" t="s">
        <v>747</v>
      </c>
      <c r="D28" s="1975" t="s">
        <v>696</v>
      </c>
      <c r="E28" s="1979" t="s">
        <v>707</v>
      </c>
      <c r="F28" s="1979" t="s">
        <v>707</v>
      </c>
      <c r="H28" s="1944"/>
      <c r="I28" s="1602">
        <v>9</v>
      </c>
      <c r="J28" s="1945" t="s">
        <v>748</v>
      </c>
      <c r="K28" s="1941" t="s">
        <v>639</v>
      </c>
      <c r="L28" s="664"/>
      <c r="M28" s="494"/>
      <c r="N28" s="480"/>
      <c r="O28" s="1452"/>
      <c r="P28" s="480"/>
      <c r="AK28" s="1558">
        <v>34</v>
      </c>
    </row>
    <row r="29" spans="1:37" ht="35.65" customHeight="1">
      <c r="A29" s="1977"/>
      <c r="B29" s="1976" t="s">
        <v>749</v>
      </c>
      <c r="C29" s="1976" t="s">
        <v>750</v>
      </c>
      <c r="D29" s="1975" t="s">
        <v>696</v>
      </c>
      <c r="E29" s="1979" t="s">
        <v>707</v>
      </c>
      <c r="F29" s="1979" t="s">
        <v>707</v>
      </c>
      <c r="H29" s="1944"/>
      <c r="I29" s="1602">
        <v>10</v>
      </c>
      <c r="J29" s="1945" t="s">
        <v>751</v>
      </c>
      <c r="K29" s="1941" t="s">
        <v>639</v>
      </c>
      <c r="L29" s="664"/>
      <c r="M29" s="494"/>
      <c r="N29" s="480"/>
      <c r="O29" s="1452"/>
      <c r="P29" s="480"/>
      <c r="AK29" s="1558">
        <v>34</v>
      </c>
    </row>
    <row r="30" spans="1:37" ht="24" customHeight="1">
      <c r="A30" s="1977"/>
      <c r="B30" s="1976" t="s">
        <v>752</v>
      </c>
      <c r="C30" s="1976" t="s">
        <v>753</v>
      </c>
      <c r="D30" s="1975" t="s">
        <v>696</v>
      </c>
      <c r="E30" s="1979" t="s">
        <v>707</v>
      </c>
      <c r="F30" s="1979" t="s">
        <v>707</v>
      </c>
      <c r="H30" s="1944"/>
      <c r="I30" s="1602">
        <v>11</v>
      </c>
      <c r="J30" s="1945" t="s">
        <v>753</v>
      </c>
      <c r="K30" s="1941" t="s">
        <v>669</v>
      </c>
      <c r="L30" s="1992"/>
      <c r="M30" s="1548"/>
      <c r="N30" s="480"/>
      <c r="O30" s="1452"/>
      <c r="P30" s="480"/>
      <c r="AK30" s="1558">
        <v>23</v>
      </c>
    </row>
    <row r="31" spans="1:37" ht="24" customHeight="1">
      <c r="A31" s="1977"/>
      <c r="B31" s="1976" t="s">
        <v>754</v>
      </c>
      <c r="C31" s="1976" t="s">
        <v>755</v>
      </c>
      <c r="D31" s="1975" t="s">
        <v>696</v>
      </c>
      <c r="E31" s="1979" t="s">
        <v>707</v>
      </c>
      <c r="F31" s="1979" t="s">
        <v>707</v>
      </c>
      <c r="H31" s="1944"/>
      <c r="I31" s="1602">
        <v>12</v>
      </c>
      <c r="J31" s="1945" t="s">
        <v>755</v>
      </c>
      <c r="K31" s="1941" t="s">
        <v>669</v>
      </c>
      <c r="L31" s="1992"/>
      <c r="M31" s="1548"/>
      <c r="N31" s="480"/>
      <c r="O31" s="1452"/>
      <c r="P31" s="480"/>
      <c r="AK31" s="1558">
        <v>23</v>
      </c>
    </row>
    <row r="32" spans="1:37" ht="48.2" customHeight="1">
      <c r="A32" s="1977"/>
      <c r="B32" s="1976" t="s">
        <v>756</v>
      </c>
      <c r="C32" s="1976" t="s">
        <v>757</v>
      </c>
      <c r="D32" s="1975" t="s">
        <v>696</v>
      </c>
      <c r="E32" s="1979" t="s">
        <v>707</v>
      </c>
      <c r="F32" s="1979" t="s">
        <v>707</v>
      </c>
      <c r="H32" s="1944"/>
      <c r="I32" s="1602">
        <v>13</v>
      </c>
      <c r="J32" s="1945" t="s">
        <v>758</v>
      </c>
      <c r="K32" s="1941" t="s">
        <v>679</v>
      </c>
      <c r="L32" s="664"/>
      <c r="M32" s="494"/>
      <c r="N32" s="480"/>
      <c r="O32" s="1452" t="s">
        <v>718</v>
      </c>
      <c r="P32" s="480"/>
      <c r="AK32" s="1558">
        <v>46</v>
      </c>
    </row>
    <row r="33" spans="1:37" s="1293" customFormat="1" ht="48.2" customHeight="1">
      <c r="A33" s="1977"/>
      <c r="B33" s="1976" t="s">
        <v>759</v>
      </c>
      <c r="C33" s="1976" t="s">
        <v>760</v>
      </c>
      <c r="D33" s="1975" t="s">
        <v>696</v>
      </c>
      <c r="E33" s="1979" t="s">
        <v>707</v>
      </c>
      <c r="F33" s="1979" t="s">
        <v>707</v>
      </c>
      <c r="G33" s="1563"/>
      <c r="H33" s="1944"/>
      <c r="I33" s="1602">
        <v>14</v>
      </c>
      <c r="J33" s="1957" t="s">
        <v>761</v>
      </c>
      <c r="K33" s="1946" t="s">
        <v>762</v>
      </c>
      <c r="L33" s="664"/>
      <c r="M33" s="494"/>
      <c r="N33" s="480"/>
      <c r="O33" s="1452" t="s">
        <v>718</v>
      </c>
      <c r="P33" s="480"/>
      <c r="Q33" s="1563"/>
      <c r="R33" s="1563"/>
      <c r="W33" s="1563"/>
      <c r="Z33" s="481"/>
      <c r="AF33" s="1559"/>
      <c r="AG33" s="1559"/>
      <c r="AH33" s="1559"/>
      <c r="AI33" s="1559"/>
      <c r="AJ33" s="1559"/>
      <c r="AK33" s="1293">
        <v>46</v>
      </c>
    </row>
    <row r="34" spans="1:37" ht="108" customHeight="1">
      <c r="A34" s="1977"/>
      <c r="B34" s="1976" t="s">
        <v>763</v>
      </c>
      <c r="C34" s="1976" t="s">
        <v>764</v>
      </c>
      <c r="D34" s="1975" t="s">
        <v>706</v>
      </c>
      <c r="E34" s="1979" t="s">
        <v>707</v>
      </c>
      <c r="F34" s="1979" t="s">
        <v>707</v>
      </c>
      <c r="G34" s="1563" t="s">
        <v>667</v>
      </c>
      <c r="H34" s="1944"/>
      <c r="I34" s="1955">
        <v>15</v>
      </c>
      <c r="J34" s="1956" t="s">
        <v>765</v>
      </c>
      <c r="K34" s="1941" t="s">
        <v>386</v>
      </c>
      <c r="L34" s="322"/>
      <c r="M34" s="1091"/>
      <c r="N34" s="480"/>
      <c r="O34" s="1452" t="s">
        <v>710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215</v>
      </c>
      <c r="C204" s="917" t="s">
        <v>215</v>
      </c>
      <c r="D204" s="917" t="s">
        <v>215</v>
      </c>
      <c r="E204" s="917" t="s">
        <v>215</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766</v>
      </c>
      <c r="C2" s="1976" t="s">
        <v>767</v>
      </c>
      <c r="D2" s="1975" t="s">
        <v>706</v>
      </c>
      <c r="E2" s="1981">
        <f>I2-3</f>
        <v>-3</v>
      </c>
      <c r="F2" s="1981">
        <f>J2</f>
        <v>0</v>
      </c>
      <c r="H2" s="1657" t="s">
        <v>103</v>
      </c>
      <c r="I2" s="1947"/>
      <c r="J2" s="1609"/>
      <c r="K2" s="1941" t="s">
        <v>386</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582" t="s">
        <v>768</v>
      </c>
      <c r="J5" s="2582"/>
      <c r="K5" s="2582"/>
      <c r="L5" s="2582"/>
      <c r="M5" s="203"/>
      <c r="W5" s="1558">
        <v>48</v>
      </c>
    </row>
    <row r="6" spans="1:23" ht="18" customHeight="1">
      <c r="H6" s="313"/>
      <c r="I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555"/>
      <c r="K6" s="2555"/>
      <c r="L6" s="2555"/>
      <c r="M6" s="203"/>
      <c r="W6" s="1558">
        <v>17</v>
      </c>
    </row>
    <row r="7" spans="1:23" ht="14.65" customHeight="1">
      <c r="H7" s="313"/>
      <c r="I7" s="394"/>
      <c r="J7" s="400"/>
      <c r="K7" s="400"/>
      <c r="L7" s="689"/>
      <c r="M7" s="130"/>
      <c r="W7" s="1558">
        <v>14</v>
      </c>
    </row>
    <row r="8" spans="1:23" ht="14.65" customHeight="1">
      <c r="H8" s="313"/>
      <c r="I8" s="2700" t="s">
        <v>380</v>
      </c>
      <c r="J8" s="2701"/>
      <c r="K8" s="2701"/>
      <c r="L8" s="2702"/>
      <c r="M8" s="2703" t="s">
        <v>381</v>
      </c>
      <c r="W8" s="1558">
        <v>14</v>
      </c>
    </row>
    <row r="9" spans="1:23" ht="35.65" customHeight="1">
      <c r="E9" s="1974" t="s">
        <v>697</v>
      </c>
      <c r="F9" s="1974" t="s">
        <v>703</v>
      </c>
      <c r="H9" s="313"/>
      <c r="I9" s="1948" t="s">
        <v>88</v>
      </c>
      <c r="J9" s="1949" t="s">
        <v>382</v>
      </c>
      <c r="K9" s="1987" t="s">
        <v>645</v>
      </c>
      <c r="L9" s="1988" t="s">
        <v>383</v>
      </c>
      <c r="M9" s="2703"/>
      <c r="W9" s="1558">
        <v>34</v>
      </c>
    </row>
    <row r="10" spans="1:23" ht="35.65" customHeight="1">
      <c r="B10" s="1976" t="s">
        <v>769</v>
      </c>
      <c r="C10" s="1976" t="s">
        <v>770</v>
      </c>
      <c r="D10" s="1975" t="s">
        <v>706</v>
      </c>
      <c r="E10" s="1979" t="s">
        <v>707</v>
      </c>
      <c r="F10" s="1979" t="s">
        <v>707</v>
      </c>
      <c r="H10" s="313"/>
      <c r="I10" s="1947" t="s">
        <v>177</v>
      </c>
      <c r="J10" s="1812" t="s">
        <v>771</v>
      </c>
      <c r="K10" s="1941" t="s">
        <v>386</v>
      </c>
      <c r="L10" s="749"/>
      <c r="M10" s="234" t="s">
        <v>772</v>
      </c>
      <c r="W10" s="1558">
        <v>34</v>
      </c>
    </row>
    <row r="11" spans="1:23" ht="50.25" customHeight="1">
      <c r="B11" s="1976" t="s">
        <v>773</v>
      </c>
      <c r="C11" s="1976" t="s">
        <v>774</v>
      </c>
      <c r="D11" s="1975" t="s">
        <v>706</v>
      </c>
      <c r="E11" s="1979" t="s">
        <v>707</v>
      </c>
      <c r="F11" s="1979" t="s">
        <v>707</v>
      </c>
      <c r="H11" s="313"/>
      <c r="I11" s="1947" t="s">
        <v>102</v>
      </c>
      <c r="J11" s="1812" t="s">
        <v>775</v>
      </c>
      <c r="K11" s="1941" t="s">
        <v>386</v>
      </c>
      <c r="L11" s="749"/>
      <c r="M11" s="234" t="s">
        <v>772</v>
      </c>
      <c r="W11" s="1558">
        <v>48</v>
      </c>
    </row>
    <row r="12" spans="1:23" ht="48.2" customHeight="1">
      <c r="B12" s="1976" t="s">
        <v>776</v>
      </c>
      <c r="C12" s="1976" t="s">
        <v>777</v>
      </c>
      <c r="D12" s="1975" t="s">
        <v>706</v>
      </c>
      <c r="E12" s="1979" t="s">
        <v>707</v>
      </c>
      <c r="F12" s="1979" t="s">
        <v>707</v>
      </c>
      <c r="H12" s="1615"/>
      <c r="I12" s="1947" t="s">
        <v>90</v>
      </c>
      <c r="J12" s="1954" t="s">
        <v>778</v>
      </c>
      <c r="K12" s="1941" t="s">
        <v>386</v>
      </c>
      <c r="L12" s="749"/>
      <c r="M12" s="234" t="s">
        <v>779</v>
      </c>
      <c r="N12" s="1551"/>
      <c r="P12" s="1558"/>
      <c r="W12" s="1558">
        <v>46</v>
      </c>
    </row>
    <row r="13" spans="1:23" ht="14.65" customHeight="1">
      <c r="E13" s="280"/>
      <c r="H13" s="313"/>
      <c r="I13" s="284"/>
      <c r="J13" s="588" t="s">
        <v>780</v>
      </c>
      <c r="K13" s="508"/>
      <c r="L13" s="151"/>
      <c r="M13" s="234"/>
      <c r="W13" s="1558">
        <v>14</v>
      </c>
    </row>
    <row r="14" spans="1:23" ht="14.65" customHeight="1">
      <c r="E14" s="280"/>
      <c r="H14" s="313"/>
      <c r="I14" s="987"/>
      <c r="J14" s="1604"/>
      <c r="K14" s="1605"/>
      <c r="L14" s="1606"/>
      <c r="M14" s="1951"/>
      <c r="W14" s="1558">
        <v>14</v>
      </c>
    </row>
    <row r="15" spans="1:23" ht="14.65" customHeight="1">
      <c r="I15" s="1608"/>
      <c r="J15" s="2600"/>
      <c r="K15" s="2600"/>
      <c r="L15" s="2600"/>
      <c r="M15" s="2600"/>
      <c r="W15" s="1558">
        <v>14</v>
      </c>
    </row>
    <row r="16" spans="1:23" ht="21" hidden="1" customHeight="1">
      <c r="A16" s="1953" t="s">
        <v>82</v>
      </c>
      <c r="B16" s="1558">
        <v>9</v>
      </c>
      <c r="C16" s="1558">
        <v>9</v>
      </c>
      <c r="D16" s="1558">
        <v>9</v>
      </c>
      <c r="E16" s="1953" t="s">
        <v>214</v>
      </c>
      <c r="F16" s="1978" t="s">
        <v>214</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631</v>
      </c>
      <c r="H2" s="478"/>
      <c r="I2" s="478"/>
      <c r="J2" s="479" t="s">
        <v>781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534" t="s">
        <v>782</v>
      </c>
      <c r="F6" s="2534"/>
      <c r="G6" s="2534"/>
      <c r="H6" s="2534"/>
      <c r="I6" s="2534"/>
      <c r="J6" s="493"/>
      <c r="AF6" s="1558">
        <v>30</v>
      </c>
    </row>
    <row r="7" spans="1:32" ht="11.45" customHeight="1">
      <c r="E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555"/>
      <c r="G7" s="2555"/>
      <c r="H7" s="2555"/>
      <c r="I7" s="2555"/>
      <c r="AF7" s="1558">
        <v>11</v>
      </c>
    </row>
    <row r="8" spans="1:32" ht="11.45" customHeight="1">
      <c r="E8" s="1062"/>
      <c r="F8" s="1062"/>
      <c r="G8" s="1062"/>
      <c r="H8" s="1062"/>
      <c r="I8" s="1062"/>
      <c r="AF8" s="1558">
        <v>11</v>
      </c>
    </row>
    <row r="9" spans="1:32" s="1569" customFormat="1" ht="4.1500000000000004" customHeight="1">
      <c r="A9" s="1094"/>
      <c r="H9" s="819"/>
      <c r="I9" s="819" t="s">
        <v>183</v>
      </c>
      <c r="AF9" s="1563">
        <v>4</v>
      </c>
    </row>
    <row r="10" spans="1:32" ht="11.45" customHeight="1">
      <c r="E10" s="648"/>
      <c r="F10" s="2696" t="s">
        <v>173</v>
      </c>
      <c r="G10" s="2697"/>
      <c r="H10" s="1479" t="str">
        <f>IF(H9="","",INDEX(DIFFERENTIATION_UNMERGE_VD,MATCH(H9,DIFFERENTIATION_ID_DIFF,0)))</f>
        <v/>
      </c>
      <c r="I10" s="1479">
        <f>IF(I9="","",INDEX(DIFFERENTIATION_UNMERGE_VD,MATCH(I9,DIFFERENTIATION_ID_DIFF,0)))</f>
        <v>0</v>
      </c>
      <c r="J10" s="2461"/>
      <c r="AF10" s="1558">
        <v>11</v>
      </c>
    </row>
    <row r="11" spans="1:32" ht="11.45" customHeight="1">
      <c r="E11" s="648"/>
      <c r="F11" s="2696" t="s">
        <v>643</v>
      </c>
      <c r="G11" s="2697"/>
      <c r="H11" s="1479" t="str">
        <f>IF(H9="","",INDEX(DIFFERENTIATION_UNMERGE_AREA,MATCH(H9,DIFFERENTIATION_ID_DIFF,0)))</f>
        <v/>
      </c>
      <c r="I11" s="1479" t="str">
        <f>IF(I9="","",INDEX(DIFFERENTIATION_UNMERGE_AREA,MATCH(I9,DIFFERENTIATION_ID_DIFF,0)))</f>
        <v/>
      </c>
      <c r="J11" s="2461"/>
      <c r="AF11" s="1558">
        <v>11</v>
      </c>
    </row>
    <row r="12" spans="1:32" ht="1.1499999999999999" customHeight="1">
      <c r="E12" s="1589"/>
      <c r="F12" s="2704" t="s">
        <v>644</v>
      </c>
      <c r="G12" s="2705"/>
      <c r="H12" s="1590" t="str">
        <f>IF(H9="","",INDEX(DIFFERENTIATION_UNMERGE_SYSTEM,MATCH(H9,DIFFERENTIATION_ID_DIFF,0)))</f>
        <v/>
      </c>
      <c r="I12" s="1590" t="str">
        <f>IF(I9="","",INDEX(DIFFERENTIATION_UNMERGE_SYSTEM,MATCH(I9,DIFFERENTIATION_ID_DIFF,0)))</f>
        <v>без дифференциации</v>
      </c>
      <c r="J12" s="2461"/>
      <c r="AF12" s="1558">
        <v>1</v>
      </c>
    </row>
    <row r="13" spans="1:32" ht="11.45" customHeight="1">
      <c r="E13" s="2698" t="s">
        <v>380</v>
      </c>
      <c r="F13" s="2699"/>
      <c r="G13" s="2699"/>
      <c r="H13" s="1478"/>
      <c r="I13" s="1478"/>
      <c r="J13" s="2461"/>
      <c r="AF13" s="1558">
        <v>11</v>
      </c>
    </row>
    <row r="14" spans="1:32" ht="24" customHeight="1">
      <c r="E14" s="1566" t="s">
        <v>88</v>
      </c>
      <c r="F14" s="1561" t="s">
        <v>382</v>
      </c>
      <c r="G14" s="1561" t="s">
        <v>645</v>
      </c>
      <c r="H14" s="1561" t="s">
        <v>383</v>
      </c>
      <c r="I14" s="1561" t="s">
        <v>383</v>
      </c>
      <c r="J14" s="2461"/>
      <c r="AF14" s="1558">
        <v>23</v>
      </c>
    </row>
    <row r="15" spans="1:32" ht="19.899999999999999" customHeight="1">
      <c r="D15" s="1565"/>
      <c r="E15" s="1557" t="s">
        <v>177</v>
      </c>
      <c r="F15" s="644" t="s">
        <v>783</v>
      </c>
      <c r="G15" s="1573" t="s">
        <v>631</v>
      </c>
      <c r="H15" s="494"/>
      <c r="I15" s="494"/>
      <c r="J15" s="226" t="s">
        <v>784</v>
      </c>
      <c r="K15" s="480" t="s">
        <v>709</v>
      </c>
      <c r="AF15" s="1558">
        <v>19</v>
      </c>
    </row>
    <row r="16" spans="1:32" ht="35.65" customHeight="1">
      <c r="D16" s="1565"/>
      <c r="E16" s="1557" t="s">
        <v>102</v>
      </c>
      <c r="F16" s="644" t="s">
        <v>785</v>
      </c>
      <c r="G16" s="1573" t="s">
        <v>631</v>
      </c>
      <c r="H16" s="495">
        <f>SUM(H17,H20:H32)</f>
        <v>0</v>
      </c>
      <c r="I16" s="495">
        <f>SUM(I17,I20,I23,I26,I29:I32)</f>
        <v>0</v>
      </c>
      <c r="J16" s="226" t="s">
        <v>786</v>
      </c>
      <c r="K16" s="480" t="s">
        <v>709</v>
      </c>
      <c r="AF16" s="1558">
        <v>34</v>
      </c>
    </row>
    <row r="17" spans="1:32" ht="19.899999999999999" customHeight="1">
      <c r="D17" s="1565"/>
      <c r="E17" s="1591" t="s">
        <v>787</v>
      </c>
      <c r="F17" s="884" t="s">
        <v>788</v>
      </c>
      <c r="G17" s="1570" t="s">
        <v>631</v>
      </c>
      <c r="H17" s="494"/>
      <c r="I17" s="494"/>
      <c r="J17" s="226" t="s">
        <v>789</v>
      </c>
      <c r="K17" s="480"/>
      <c r="AF17" s="1558">
        <v>19</v>
      </c>
    </row>
    <row r="18" spans="1:32" ht="24" customHeight="1">
      <c r="D18" s="1565"/>
      <c r="E18" s="1591" t="s">
        <v>790</v>
      </c>
      <c r="F18" s="1577" t="s">
        <v>791</v>
      </c>
      <c r="G18" s="1570" t="s">
        <v>631</v>
      </c>
      <c r="H18" s="494"/>
      <c r="I18" s="494"/>
      <c r="J18" s="226" t="s">
        <v>792</v>
      </c>
      <c r="K18" s="480"/>
      <c r="AF18" s="1558">
        <v>23</v>
      </c>
    </row>
    <row r="19" spans="1:32" ht="35.65" customHeight="1">
      <c r="D19" s="1565"/>
      <c r="E19" s="1591" t="s">
        <v>793</v>
      </c>
      <c r="F19" s="1577" t="s">
        <v>794</v>
      </c>
      <c r="G19" s="1570" t="s">
        <v>631</v>
      </c>
      <c r="H19" s="494"/>
      <c r="I19" s="494"/>
      <c r="J19" s="226"/>
      <c r="K19" s="480"/>
      <c r="AF19" s="1558">
        <v>34</v>
      </c>
    </row>
    <row r="20" spans="1:32" ht="19.899999999999999" customHeight="1">
      <c r="D20" s="1565"/>
      <c r="E20" s="1591" t="s">
        <v>387</v>
      </c>
      <c r="F20" s="884" t="s">
        <v>795</v>
      </c>
      <c r="G20" s="1570" t="s">
        <v>631</v>
      </c>
      <c r="H20" s="494"/>
      <c r="I20" s="494"/>
      <c r="J20" s="226" t="s">
        <v>796</v>
      </c>
      <c r="K20" s="480"/>
      <c r="AF20" s="1558">
        <v>19</v>
      </c>
    </row>
    <row r="21" spans="1:32" ht="19.899999999999999" customHeight="1">
      <c r="D21" s="1565"/>
      <c r="E21" s="1591" t="s">
        <v>797</v>
      </c>
      <c r="F21" s="1577" t="s">
        <v>798</v>
      </c>
      <c r="G21" s="1570" t="s">
        <v>631</v>
      </c>
      <c r="H21" s="494"/>
      <c r="I21" s="494"/>
      <c r="J21" s="226"/>
      <c r="K21" s="480"/>
      <c r="AF21" s="1558">
        <v>19</v>
      </c>
    </row>
    <row r="22" spans="1:32" ht="19.899999999999999" customHeight="1">
      <c r="D22" s="1565"/>
      <c r="E22" s="1591" t="s">
        <v>799</v>
      </c>
      <c r="F22" s="1577" t="s">
        <v>800</v>
      </c>
      <c r="G22" s="1570" t="s">
        <v>631</v>
      </c>
      <c r="H22" s="494"/>
      <c r="I22" s="494"/>
      <c r="J22" s="226"/>
      <c r="K22" s="480"/>
      <c r="AF22" s="1558">
        <v>19</v>
      </c>
    </row>
    <row r="23" spans="1:32" ht="24" customHeight="1">
      <c r="D23" s="1565"/>
      <c r="E23" s="1591" t="s">
        <v>390</v>
      </c>
      <c r="F23" s="884" t="s">
        <v>801</v>
      </c>
      <c r="G23" s="1570" t="s">
        <v>631</v>
      </c>
      <c r="H23" s="494"/>
      <c r="I23" s="494"/>
      <c r="J23" s="226" t="s">
        <v>802</v>
      </c>
      <c r="K23" s="480"/>
      <c r="AF23" s="1558">
        <v>23</v>
      </c>
    </row>
    <row r="24" spans="1:32" ht="19.899999999999999" customHeight="1">
      <c r="D24" s="1565"/>
      <c r="E24" s="1591" t="s">
        <v>803</v>
      </c>
      <c r="F24" s="1577" t="s">
        <v>804</v>
      </c>
      <c r="G24" s="1570" t="s">
        <v>631</v>
      </c>
      <c r="H24" s="494"/>
      <c r="I24" s="494"/>
      <c r="J24" s="226"/>
      <c r="K24" s="480"/>
      <c r="AF24" s="1558">
        <v>19</v>
      </c>
    </row>
    <row r="25" spans="1:32" ht="35.65" customHeight="1">
      <c r="D25" s="1565"/>
      <c r="E25" s="1591" t="s">
        <v>805</v>
      </c>
      <c r="F25" s="1577" t="s">
        <v>806</v>
      </c>
      <c r="G25" s="1570" t="s">
        <v>631</v>
      </c>
      <c r="H25" s="494"/>
      <c r="I25" s="494"/>
      <c r="J25" s="226"/>
      <c r="K25" s="480"/>
      <c r="AF25" s="1558">
        <v>34</v>
      </c>
    </row>
    <row r="26" spans="1:32" ht="24" customHeight="1">
      <c r="D26" s="1565"/>
      <c r="E26" s="1591" t="s">
        <v>807</v>
      </c>
      <c r="F26" s="884" t="s">
        <v>808</v>
      </c>
      <c r="G26" s="1570" t="s">
        <v>631</v>
      </c>
      <c r="H26" s="494"/>
      <c r="I26" s="494"/>
      <c r="J26" s="226" t="s">
        <v>809</v>
      </c>
      <c r="K26" s="480"/>
      <c r="AF26" s="1558">
        <v>23</v>
      </c>
    </row>
    <row r="27" spans="1:32" ht="19.899999999999999" customHeight="1">
      <c r="D27" s="1565"/>
      <c r="E27" s="1602" t="s">
        <v>810</v>
      </c>
      <c r="F27" s="1577" t="s">
        <v>811</v>
      </c>
      <c r="G27" s="1581" t="s">
        <v>631</v>
      </c>
      <c r="H27" s="1603"/>
      <c r="I27" s="1603"/>
      <c r="J27" s="226"/>
      <c r="K27" s="480"/>
      <c r="AF27" s="1558">
        <v>19</v>
      </c>
    </row>
    <row r="28" spans="1:32" ht="19.899999999999999" customHeight="1">
      <c r="D28" s="1565"/>
      <c r="E28" s="1602" t="s">
        <v>812</v>
      </c>
      <c r="F28" s="1577" t="s">
        <v>813</v>
      </c>
      <c r="G28" s="1581" t="s">
        <v>631</v>
      </c>
      <c r="H28" s="1603"/>
      <c r="I28" s="1603"/>
      <c r="J28" s="226"/>
      <c r="K28" s="480"/>
      <c r="AF28" s="1558">
        <v>19</v>
      </c>
    </row>
    <row r="29" spans="1:32" ht="19.899999999999999" customHeight="1">
      <c r="D29" s="1565"/>
      <c r="E29" s="1602" t="s">
        <v>814</v>
      </c>
      <c r="F29" s="884" t="s">
        <v>815</v>
      </c>
      <c r="G29" s="1581" t="s">
        <v>631</v>
      </c>
      <c r="H29" s="1603"/>
      <c r="I29" s="1603"/>
      <c r="J29" s="226"/>
      <c r="K29" s="480"/>
      <c r="AF29" s="1558">
        <v>19</v>
      </c>
    </row>
    <row r="30" spans="1:32" ht="19.899999999999999" customHeight="1">
      <c r="D30" s="1565"/>
      <c r="E30" s="1602" t="s">
        <v>816</v>
      </c>
      <c r="F30" s="884" t="s">
        <v>817</v>
      </c>
      <c r="G30" s="1581" t="s">
        <v>631</v>
      </c>
      <c r="H30" s="1603"/>
      <c r="I30" s="1603"/>
      <c r="J30" s="226"/>
      <c r="K30" s="480"/>
      <c r="AF30" s="1558">
        <v>19</v>
      </c>
    </row>
    <row r="31" spans="1:32" ht="19.899999999999999" customHeight="1">
      <c r="D31" s="1565"/>
      <c r="E31" s="1602" t="s">
        <v>818</v>
      </c>
      <c r="F31" s="884" t="s">
        <v>819</v>
      </c>
      <c r="G31" s="1581" t="s">
        <v>631</v>
      </c>
      <c r="H31" s="1603"/>
      <c r="I31" s="1603"/>
      <c r="J31" s="226"/>
      <c r="K31" s="480"/>
      <c r="AF31" s="1558">
        <v>19</v>
      </c>
    </row>
    <row r="32" spans="1:32" s="1293" customFormat="1" ht="35.65" customHeight="1">
      <c r="A32" s="917"/>
      <c r="C32" s="1563"/>
      <c r="D32" s="1565"/>
      <c r="E32" s="1602" t="s">
        <v>820</v>
      </c>
      <c r="F32" s="884" t="s">
        <v>821</v>
      </c>
      <c r="G32" s="1571" t="s">
        <v>631</v>
      </c>
      <c r="H32" s="516">
        <f>SUM(H33:H34)</f>
        <v>0</v>
      </c>
      <c r="I32" s="516">
        <f>SUM(I33:I34)</f>
        <v>0</v>
      </c>
      <c r="J32" s="226" t="s">
        <v>822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656</v>
      </c>
      <c r="G34" s="509"/>
      <c r="H34" s="510"/>
      <c r="I34" s="510"/>
      <c r="J34" s="238" t="s">
        <v>823</v>
      </c>
      <c r="K34" s="480"/>
      <c r="L34" s="1563"/>
      <c r="M34" s="1563"/>
      <c r="R34" s="1563"/>
      <c r="U34" s="481"/>
      <c r="AA34" s="1559"/>
      <c r="AB34" s="1559"/>
      <c r="AC34" s="1559"/>
      <c r="AD34" s="1559"/>
      <c r="AE34" s="1559"/>
      <c r="AF34" s="1087">
        <v>19</v>
      </c>
    </row>
    <row r="35" spans="1:32" ht="60" customHeight="1">
      <c r="D35" s="1565"/>
      <c r="E35" s="1602" t="s">
        <v>824</v>
      </c>
      <c r="F35" s="884" t="s">
        <v>825</v>
      </c>
      <c r="G35" s="1581" t="s">
        <v>631</v>
      </c>
      <c r="H35" s="1603"/>
      <c r="I35" s="1603"/>
      <c r="J35" s="226" t="s">
        <v>826</v>
      </c>
      <c r="K35" s="480"/>
      <c r="AF35" s="1558">
        <v>57</v>
      </c>
    </row>
    <row r="36" spans="1:32" s="1293" customFormat="1" ht="24" customHeight="1">
      <c r="A36" s="919" t="s">
        <v>657</v>
      </c>
      <c r="C36" s="1563"/>
      <c r="D36" s="1565"/>
      <c r="E36" s="1591" t="s">
        <v>90</v>
      </c>
      <c r="F36" s="644" t="s">
        <v>827</v>
      </c>
      <c r="G36" s="1570" t="s">
        <v>631</v>
      </c>
      <c r="H36" s="494"/>
      <c r="I36" s="494"/>
      <c r="J36" s="226" t="s">
        <v>828</v>
      </c>
      <c r="K36" s="480"/>
      <c r="L36" s="1563"/>
      <c r="M36" s="1563"/>
      <c r="R36" s="1563"/>
      <c r="U36" s="481"/>
      <c r="AA36" s="1559"/>
      <c r="AB36" s="1559"/>
      <c r="AC36" s="1559"/>
      <c r="AD36" s="1559"/>
      <c r="AE36" s="1559"/>
      <c r="AF36" s="1087">
        <v>23</v>
      </c>
    </row>
    <row r="37" spans="1:32" s="1293" customFormat="1" ht="35.65" customHeight="1">
      <c r="A37" s="919"/>
      <c r="C37" s="1563"/>
      <c r="D37" s="1565"/>
      <c r="E37" s="1591" t="s">
        <v>404</v>
      </c>
      <c r="F37" s="884" t="s">
        <v>829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830</v>
      </c>
      <c r="G38" s="1570" t="s">
        <v>631</v>
      </c>
      <c r="H38" s="494"/>
      <c r="I38" s="494"/>
      <c r="J38" s="226" t="s">
        <v>831</v>
      </c>
      <c r="K38" s="480"/>
      <c r="L38" s="1563"/>
      <c r="M38" s="1563"/>
      <c r="R38" s="1563"/>
      <c r="U38" s="481"/>
      <c r="AA38" s="1559"/>
      <c r="AB38" s="1559"/>
      <c r="AC38" s="1559"/>
      <c r="AD38" s="1559"/>
      <c r="AE38" s="1559"/>
      <c r="AF38" s="1087">
        <v>19</v>
      </c>
    </row>
    <row r="39" spans="1:32" s="1293" customFormat="1" ht="24" customHeight="1">
      <c r="A39" s="917"/>
      <c r="C39" s="1563"/>
      <c r="D39" s="512"/>
      <c r="E39" s="1591" t="s">
        <v>832</v>
      </c>
      <c r="F39" s="884" t="s">
        <v>833</v>
      </c>
      <c r="G39" s="1581" t="s">
        <v>631</v>
      </c>
      <c r="H39" s="494"/>
      <c r="I39" s="494"/>
      <c r="J39" s="226" t="s">
        <v>834</v>
      </c>
      <c r="K39" s="480"/>
      <c r="L39" s="1563"/>
      <c r="M39" s="1563"/>
      <c r="R39" s="1563"/>
      <c r="U39" s="481"/>
      <c r="AA39" s="1559"/>
      <c r="AB39" s="1559"/>
      <c r="AC39" s="1559"/>
      <c r="AD39" s="1559"/>
      <c r="AE39" s="1559"/>
      <c r="AF39" s="1087">
        <v>23</v>
      </c>
    </row>
    <row r="40" spans="1:32" s="1293" customFormat="1" ht="24" customHeight="1">
      <c r="A40" s="917"/>
      <c r="C40" s="1563"/>
      <c r="D40" s="1565"/>
      <c r="E40" s="1591" t="s">
        <v>835</v>
      </c>
      <c r="F40" s="1577" t="s">
        <v>836</v>
      </c>
      <c r="G40" s="1570" t="s">
        <v>631</v>
      </c>
      <c r="H40" s="494"/>
      <c r="I40" s="494"/>
      <c r="J40" s="226" t="s">
        <v>837</v>
      </c>
      <c r="K40" s="480"/>
      <c r="L40" s="1563"/>
      <c r="M40" s="1563"/>
      <c r="R40" s="1563"/>
      <c r="U40" s="481"/>
      <c r="AA40" s="1559"/>
      <c r="AB40" s="1559"/>
      <c r="AC40" s="1559"/>
      <c r="AD40" s="1559"/>
      <c r="AE40" s="1559"/>
      <c r="AF40" s="1087">
        <v>23</v>
      </c>
    </row>
    <row r="41" spans="1:32" s="1293" customFormat="1" ht="24" customHeight="1">
      <c r="A41" s="917"/>
      <c r="C41" s="1563"/>
      <c r="D41" s="1565"/>
      <c r="E41" s="1591" t="s">
        <v>838</v>
      </c>
      <c r="F41" s="1577" t="s">
        <v>839</v>
      </c>
      <c r="G41" s="1570" t="s">
        <v>631</v>
      </c>
      <c r="H41" s="494"/>
      <c r="I41" s="494"/>
      <c r="J41" s="226" t="s">
        <v>840</v>
      </c>
      <c r="K41" s="480"/>
      <c r="L41" s="1563"/>
      <c r="M41" s="1563"/>
      <c r="R41" s="1563"/>
      <c r="U41" s="481"/>
      <c r="AA41" s="1559"/>
      <c r="AB41" s="1559"/>
      <c r="AC41" s="1559"/>
      <c r="AD41" s="1559"/>
      <c r="AE41" s="1559"/>
      <c r="AF41" s="1087">
        <v>23</v>
      </c>
    </row>
    <row r="42" spans="1:32" s="1293" customFormat="1" ht="24" customHeight="1">
      <c r="A42" s="917"/>
      <c r="C42" s="1563"/>
      <c r="D42" s="1565"/>
      <c r="E42" s="1591" t="s">
        <v>841</v>
      </c>
      <c r="F42" s="1577" t="s">
        <v>842</v>
      </c>
      <c r="G42" s="1570" t="s">
        <v>631</v>
      </c>
      <c r="H42" s="494"/>
      <c r="I42" s="494"/>
      <c r="J42" s="226" t="s">
        <v>843</v>
      </c>
      <c r="K42" s="480"/>
      <c r="L42" s="1563"/>
      <c r="M42" s="1563"/>
      <c r="R42" s="1563"/>
      <c r="U42" s="481"/>
      <c r="AA42" s="1559"/>
      <c r="AB42" s="1559"/>
      <c r="AC42" s="1559"/>
      <c r="AD42" s="1559"/>
      <c r="AE42" s="1559"/>
      <c r="AF42" s="1087">
        <v>23</v>
      </c>
    </row>
    <row r="43" spans="1:32" s="1293" customFormat="1" ht="35.65" customHeight="1">
      <c r="A43" s="917"/>
      <c r="C43" s="1563" t="s">
        <v>667</v>
      </c>
      <c r="D43" s="1565"/>
      <c r="E43" s="1591" t="s">
        <v>127</v>
      </c>
      <c r="F43" s="644" t="s">
        <v>708</v>
      </c>
      <c r="G43" s="1573" t="s">
        <v>844</v>
      </c>
      <c r="H43" s="338"/>
      <c r="I43" s="338"/>
      <c r="J43" s="226" t="s">
        <v>845</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846</v>
      </c>
      <c r="G44" s="1570" t="s">
        <v>847</v>
      </c>
      <c r="H44" s="482"/>
      <c r="I44" s="482"/>
      <c r="J44" s="226" t="s">
        <v>848</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849</v>
      </c>
      <c r="G45" s="1581" t="s">
        <v>850</v>
      </c>
      <c r="H45" s="482"/>
      <c r="I45" s="482"/>
      <c r="J45" s="226" t="s">
        <v>851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178</v>
      </c>
      <c r="F46" s="644" t="s">
        <v>852</v>
      </c>
      <c r="G46" s="1570" t="s">
        <v>669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631</v>
      </c>
      <c r="H2" s="478"/>
      <c r="I2" s="478"/>
      <c r="J2" s="479" t="s">
        <v>634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582" t="s">
        <v>853</v>
      </c>
      <c r="F6" s="2582"/>
      <c r="G6" s="2582"/>
      <c r="H6" s="2582"/>
      <c r="I6" s="2582"/>
      <c r="J6" s="493"/>
      <c r="AF6" s="1558">
        <v>32</v>
      </c>
    </row>
    <row r="7" spans="1:32" ht="25.15" customHeight="1">
      <c r="E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555"/>
      <c r="G7" s="2555"/>
      <c r="H7" s="2555"/>
      <c r="I7" s="2555"/>
      <c r="AF7" s="1558">
        <v>24</v>
      </c>
    </row>
    <row r="8" spans="1:32" ht="11.45" customHeight="1">
      <c r="E8" s="1062"/>
      <c r="F8" s="1062"/>
      <c r="G8" s="1062"/>
      <c r="H8" s="1062"/>
      <c r="I8" s="1062"/>
      <c r="AF8" s="1558">
        <v>11</v>
      </c>
    </row>
    <row r="9" spans="1:32" s="1569" customFormat="1" ht="1.1499999999999999" customHeight="1">
      <c r="A9" s="1094"/>
      <c r="H9" s="819"/>
      <c r="I9" s="819" t="s">
        <v>183</v>
      </c>
      <c r="AF9" s="1563">
        <v>1</v>
      </c>
    </row>
    <row r="10" spans="1:32" ht="11.45" customHeight="1">
      <c r="E10" s="648"/>
      <c r="F10" s="2696" t="s">
        <v>173</v>
      </c>
      <c r="G10" s="2697"/>
      <c r="H10" s="1586" t="str">
        <f>IF(H9="","",INDEX(DIFFERENTIATION_UNMERGE_VD,MATCH(H9,DIFFERENTIATION_ID_DIFF,0)))</f>
        <v/>
      </c>
      <c r="I10" s="1586">
        <f>IF(I9="","",INDEX(DIFFERENTIATION_UNMERGE_VD,MATCH(I9,DIFFERENTIATION_ID_DIFF,0)))</f>
        <v>0</v>
      </c>
      <c r="J10" s="2461"/>
      <c r="AF10" s="1558">
        <v>11</v>
      </c>
    </row>
    <row r="11" spans="1:32" ht="11.45" customHeight="1">
      <c r="E11" s="648"/>
      <c r="F11" s="2696" t="s">
        <v>643</v>
      </c>
      <c r="G11" s="2697"/>
      <c r="H11" s="1586" t="str">
        <f>IF(H9="","",INDEX(DIFFERENTIATION_UNMERGE_AREA,MATCH(H9,DIFFERENTIATION_ID_DIFF,0)))</f>
        <v/>
      </c>
      <c r="I11" s="1586" t="str">
        <f>IF(I9="","",INDEX(DIFFERENTIATION_UNMERGE_AREA,MATCH(I9,DIFFERENTIATION_ID_DIFF,0)))</f>
        <v/>
      </c>
      <c r="J11" s="2461"/>
      <c r="AF11" s="1558">
        <v>11</v>
      </c>
    </row>
    <row r="12" spans="1:32" ht="11.25" hidden="1" customHeight="1">
      <c r="E12" s="1589"/>
      <c r="F12" s="2704" t="s">
        <v>644</v>
      </c>
      <c r="G12" s="2705"/>
      <c r="H12" s="1590" t="str">
        <f>IF(H9="","",INDEX(DIFFERENTIATION_UNMERGE_SYSTEM,MATCH(H9,DIFFERENTIATION_ID_DIFF,0)))</f>
        <v/>
      </c>
      <c r="I12" s="1590" t="str">
        <f>IF(I9="","",INDEX(DIFFERENTIATION_UNMERGE_SYSTEM,MATCH(I9,DIFFERENTIATION_ID_DIFF,0)))</f>
        <v>без дифференциации</v>
      </c>
      <c r="J12" s="2461"/>
      <c r="AF12" s="1558">
        <v>0</v>
      </c>
    </row>
    <row r="13" spans="1:32" ht="11.45" customHeight="1">
      <c r="E13" s="2698" t="s">
        <v>380</v>
      </c>
      <c r="F13" s="2699"/>
      <c r="G13" s="2699"/>
      <c r="H13" s="1583"/>
      <c r="I13" s="1583"/>
      <c r="J13" s="2461"/>
      <c r="AF13" s="1558">
        <v>11</v>
      </c>
    </row>
    <row r="14" spans="1:32" ht="24" customHeight="1">
      <c r="E14" s="1584" t="s">
        <v>88</v>
      </c>
      <c r="F14" s="1587" t="s">
        <v>382</v>
      </c>
      <c r="G14" s="1587" t="s">
        <v>645</v>
      </c>
      <c r="H14" s="1587" t="s">
        <v>383</v>
      </c>
      <c r="I14" s="1587" t="s">
        <v>383</v>
      </c>
      <c r="J14" s="2461"/>
      <c r="AF14" s="1558">
        <v>23</v>
      </c>
    </row>
    <row r="15" spans="1:32" ht="19.899999999999999" customHeight="1">
      <c r="D15" s="1565"/>
      <c r="E15" s="1557" t="s">
        <v>177</v>
      </c>
      <c r="F15" s="644" t="s">
        <v>854</v>
      </c>
      <c r="G15" s="1584" t="s">
        <v>631</v>
      </c>
      <c r="H15" s="494"/>
      <c r="I15" s="494"/>
      <c r="J15" s="226" t="s">
        <v>855</v>
      </c>
      <c r="K15" s="480" t="s">
        <v>709</v>
      </c>
      <c r="AF15" s="1558">
        <v>19</v>
      </c>
    </row>
    <row r="16" spans="1:32" ht="24" customHeight="1">
      <c r="D16" s="1565"/>
      <c r="E16" s="1557" t="s">
        <v>102</v>
      </c>
      <c r="F16" s="1592" t="s">
        <v>856</v>
      </c>
      <c r="G16" s="1584" t="s">
        <v>631</v>
      </c>
      <c r="H16" s="495">
        <f>SUM(H17,H20:H27)</f>
        <v>0</v>
      </c>
      <c r="I16" s="495">
        <f>SUM(I17,I20:I27)</f>
        <v>0</v>
      </c>
      <c r="J16" s="226" t="s">
        <v>857</v>
      </c>
      <c r="K16" s="480" t="s">
        <v>709</v>
      </c>
      <c r="AF16" s="1558">
        <v>23</v>
      </c>
    </row>
    <row r="17" spans="1:32" ht="35.65" customHeight="1">
      <c r="D17" s="1565"/>
      <c r="E17" s="1591" t="s">
        <v>787</v>
      </c>
      <c r="F17" s="1594" t="s">
        <v>858</v>
      </c>
      <c r="G17" s="1581" t="s">
        <v>631</v>
      </c>
      <c r="H17" s="494"/>
      <c r="I17" s="494"/>
      <c r="J17" s="226" t="s">
        <v>859</v>
      </c>
      <c r="K17" s="480"/>
      <c r="AF17" s="1558">
        <v>34</v>
      </c>
    </row>
    <row r="18" spans="1:32" ht="19.899999999999999" customHeight="1">
      <c r="D18" s="1565"/>
      <c r="E18" s="1591" t="s">
        <v>790</v>
      </c>
      <c r="F18" s="1595" t="s">
        <v>860</v>
      </c>
      <c r="G18" s="1581" t="s">
        <v>631</v>
      </c>
      <c r="H18" s="494"/>
      <c r="I18" s="494"/>
      <c r="J18" s="226"/>
      <c r="K18" s="480"/>
      <c r="AF18" s="1558">
        <v>19</v>
      </c>
    </row>
    <row r="19" spans="1:32" ht="24" customHeight="1">
      <c r="D19" s="1565"/>
      <c r="E19" s="1591" t="s">
        <v>793</v>
      </c>
      <c r="F19" s="1595" t="s">
        <v>861</v>
      </c>
      <c r="G19" s="1581" t="s">
        <v>631</v>
      </c>
      <c r="H19" s="494"/>
      <c r="I19" s="494"/>
      <c r="J19" s="226"/>
      <c r="K19" s="480"/>
      <c r="AF19" s="1558">
        <v>23</v>
      </c>
    </row>
    <row r="20" spans="1:32" ht="35.65" customHeight="1">
      <c r="D20" s="1565"/>
      <c r="E20" s="1591" t="s">
        <v>387</v>
      </c>
      <c r="F20" s="1594" t="s">
        <v>862</v>
      </c>
      <c r="G20" s="1581" t="s">
        <v>631</v>
      </c>
      <c r="H20" s="494"/>
      <c r="I20" s="494"/>
      <c r="J20" s="226"/>
      <c r="K20" s="480"/>
      <c r="AF20" s="1558">
        <v>34</v>
      </c>
    </row>
    <row r="21" spans="1:32" ht="48.2" customHeight="1">
      <c r="D21" s="1565"/>
      <c r="E21" s="1591" t="s">
        <v>390</v>
      </c>
      <c r="F21" s="1594" t="s">
        <v>863</v>
      </c>
      <c r="G21" s="1581" t="s">
        <v>631</v>
      </c>
      <c r="H21" s="494"/>
      <c r="I21" s="494"/>
      <c r="J21" s="226"/>
      <c r="K21" s="480"/>
      <c r="AF21" s="1558">
        <v>46</v>
      </c>
    </row>
    <row r="22" spans="1:32" ht="60" customHeight="1">
      <c r="D22" s="1565"/>
      <c r="E22" s="1591" t="s">
        <v>807</v>
      </c>
      <c r="F22" s="1594" t="s">
        <v>864</v>
      </c>
      <c r="G22" s="1581" t="s">
        <v>631</v>
      </c>
      <c r="H22" s="494"/>
      <c r="I22" s="494"/>
      <c r="J22" s="226"/>
      <c r="K22" s="480"/>
      <c r="AF22" s="1558">
        <v>57</v>
      </c>
    </row>
    <row r="23" spans="1:32" ht="35.65" customHeight="1">
      <c r="D23" s="1565"/>
      <c r="E23" s="1591" t="s">
        <v>814</v>
      </c>
      <c r="F23" s="1594" t="s">
        <v>865</v>
      </c>
      <c r="G23" s="1581" t="s">
        <v>631</v>
      </c>
      <c r="H23" s="494"/>
      <c r="I23" s="494"/>
      <c r="J23" s="226"/>
      <c r="K23" s="480"/>
      <c r="AF23" s="1558">
        <v>34</v>
      </c>
    </row>
    <row r="24" spans="1:32" ht="35.65" customHeight="1">
      <c r="D24" s="1565"/>
      <c r="E24" s="1591" t="s">
        <v>816</v>
      </c>
      <c r="F24" s="1594" t="s">
        <v>866</v>
      </c>
      <c r="G24" s="1581" t="s">
        <v>631</v>
      </c>
      <c r="H24" s="494"/>
      <c r="I24" s="494"/>
      <c r="J24" s="226"/>
      <c r="K24" s="480"/>
      <c r="AF24" s="1558">
        <v>34</v>
      </c>
    </row>
    <row r="25" spans="1:32" ht="24" customHeight="1">
      <c r="D25" s="1565"/>
      <c r="E25" s="1591" t="s">
        <v>818</v>
      </c>
      <c r="F25" s="1594" t="s">
        <v>867</v>
      </c>
      <c r="G25" s="1581" t="s">
        <v>631</v>
      </c>
      <c r="H25" s="494"/>
      <c r="I25" s="494"/>
      <c r="J25" s="226"/>
      <c r="K25" s="480"/>
      <c r="AF25" s="1558">
        <v>23</v>
      </c>
    </row>
    <row r="26" spans="1:32" ht="76.5" customHeight="1">
      <c r="D26" s="1565"/>
      <c r="E26" s="1591" t="s">
        <v>820</v>
      </c>
      <c r="F26" s="1594" t="s">
        <v>868</v>
      </c>
      <c r="G26" s="1581" t="s">
        <v>631</v>
      </c>
      <c r="H26" s="494"/>
      <c r="I26" s="494"/>
      <c r="J26" s="226"/>
      <c r="K26" s="480"/>
      <c r="AF26" s="1558">
        <v>73</v>
      </c>
    </row>
    <row r="27" spans="1:32" s="1293" customFormat="1" ht="35.65" customHeight="1">
      <c r="A27" s="917"/>
      <c r="C27" s="1563"/>
      <c r="D27" s="1565"/>
      <c r="E27" s="1556" t="s">
        <v>824</v>
      </c>
      <c r="F27" s="1555" t="s">
        <v>869</v>
      </c>
      <c r="G27" s="1582" t="s">
        <v>631</v>
      </c>
      <c r="H27" s="516">
        <f>SUM(H28:H29)</f>
        <v>0</v>
      </c>
      <c r="I27" s="516">
        <f>SUM(I28:I29)</f>
        <v>0</v>
      </c>
      <c r="J27" s="226" t="s">
        <v>822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656</v>
      </c>
      <c r="G29" s="509"/>
      <c r="H29" s="510"/>
      <c r="I29" s="510"/>
      <c r="J29" s="238" t="s">
        <v>823</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870</v>
      </c>
      <c r="G30" s="1581" t="s">
        <v>631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871</v>
      </c>
      <c r="G31" s="1581" t="s">
        <v>631</v>
      </c>
      <c r="H31" s="494"/>
      <c r="I31" s="494"/>
      <c r="J31" s="226" t="s">
        <v>872</v>
      </c>
      <c r="K31" s="480"/>
      <c r="L31" s="1563"/>
      <c r="M31" s="1563"/>
      <c r="R31" s="1563"/>
      <c r="U31" s="481"/>
      <c r="AA31" s="1559"/>
      <c r="AB31" s="1559"/>
      <c r="AC31" s="1559"/>
      <c r="AD31" s="1559"/>
      <c r="AE31" s="1559"/>
      <c r="AF31" s="1087">
        <v>34</v>
      </c>
    </row>
    <row r="32" spans="1:32" s="1293" customFormat="1" ht="24" customHeight="1">
      <c r="A32" s="917"/>
      <c r="C32" s="1563"/>
      <c r="D32" s="1565"/>
      <c r="E32" s="1591" t="s">
        <v>832</v>
      </c>
      <c r="F32" s="627" t="s">
        <v>836</v>
      </c>
      <c r="G32" s="1581" t="s">
        <v>631</v>
      </c>
      <c r="H32" s="494"/>
      <c r="I32" s="494"/>
      <c r="J32" s="226" t="s">
        <v>873</v>
      </c>
      <c r="K32" s="480"/>
      <c r="L32" s="1563"/>
      <c r="M32" s="1563"/>
      <c r="R32" s="1563"/>
      <c r="U32" s="481"/>
      <c r="AA32" s="1559"/>
      <c r="AB32" s="1559"/>
      <c r="AC32" s="1559"/>
      <c r="AD32" s="1559"/>
      <c r="AE32" s="1559"/>
      <c r="AF32" s="1087">
        <v>23</v>
      </c>
    </row>
    <row r="33" spans="1:32" s="1293" customFormat="1" ht="24" customHeight="1">
      <c r="A33" s="917"/>
      <c r="C33" s="1563"/>
      <c r="D33" s="1565"/>
      <c r="E33" s="1591" t="s">
        <v>874</v>
      </c>
      <c r="F33" s="627" t="s">
        <v>875</v>
      </c>
      <c r="G33" s="1581" t="s">
        <v>631</v>
      </c>
      <c r="H33" s="494"/>
      <c r="I33" s="494"/>
      <c r="J33" s="226" t="s">
        <v>876</v>
      </c>
      <c r="K33" s="480"/>
      <c r="L33" s="1563"/>
      <c r="M33" s="1563"/>
      <c r="R33" s="1563"/>
      <c r="U33" s="481"/>
      <c r="AA33" s="1559"/>
      <c r="AB33" s="1559"/>
      <c r="AC33" s="1559"/>
      <c r="AD33" s="1559"/>
      <c r="AE33" s="1559"/>
      <c r="AF33" s="1087">
        <v>23</v>
      </c>
    </row>
    <row r="34" spans="1:32" s="1293" customFormat="1" ht="24" customHeight="1">
      <c r="A34" s="917"/>
      <c r="C34" s="1563"/>
      <c r="D34" s="1565"/>
      <c r="E34" s="1591" t="s">
        <v>877</v>
      </c>
      <c r="F34" s="627" t="s">
        <v>842</v>
      </c>
      <c r="G34" s="1581" t="s">
        <v>631</v>
      </c>
      <c r="H34" s="494"/>
      <c r="I34" s="494"/>
      <c r="J34" s="226" t="s">
        <v>878</v>
      </c>
      <c r="K34" s="480"/>
      <c r="L34" s="1563"/>
      <c r="M34" s="1563"/>
      <c r="R34" s="1563"/>
      <c r="U34" s="481"/>
      <c r="AA34" s="1559"/>
      <c r="AB34" s="1559"/>
      <c r="AC34" s="1559"/>
      <c r="AD34" s="1559"/>
      <c r="AE34" s="1559"/>
      <c r="AF34" s="1087">
        <v>23</v>
      </c>
    </row>
    <row r="35" spans="1:32" s="1293" customFormat="1" ht="35.65" customHeight="1">
      <c r="A35" s="917"/>
      <c r="C35" s="1563" t="s">
        <v>667</v>
      </c>
      <c r="D35" s="1565"/>
      <c r="E35" s="1591" t="s">
        <v>127</v>
      </c>
      <c r="F35" s="1588" t="s">
        <v>708</v>
      </c>
      <c r="G35" s="1584" t="s">
        <v>386</v>
      </c>
      <c r="H35" s="338"/>
      <c r="I35" s="338"/>
      <c r="J35" s="226" t="s">
        <v>879</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880</v>
      </c>
      <c r="G36" s="1581" t="s">
        <v>847</v>
      </c>
      <c r="H36" s="482"/>
      <c r="I36" s="482"/>
      <c r="J36" s="226" t="s">
        <v>848</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881</v>
      </c>
      <c r="G37" s="1581" t="s">
        <v>850</v>
      </c>
      <c r="H37" s="482"/>
      <c r="I37" s="482"/>
      <c r="J37" s="226" t="s">
        <v>851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882</v>
      </c>
      <c r="F39" s="2600" t="s">
        <v>883</v>
      </c>
      <c r="G39" s="2600"/>
      <c r="H39" s="306"/>
      <c r="I39" s="306"/>
      <c r="J39" s="306"/>
      <c r="AF39" s="1558">
        <v>26</v>
      </c>
    </row>
    <row r="40" spans="1:32" s="1568" customFormat="1" ht="39.75" customHeight="1">
      <c r="A40" s="917"/>
      <c r="B40" s="1563"/>
      <c r="C40" s="1563"/>
      <c r="D40" s="288"/>
      <c r="F40" s="2600" t="s">
        <v>884</v>
      </c>
      <c r="G40" s="260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4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55"/>
      <c r="F3" s="2456"/>
      <c r="X3" s="442">
        <v>75</v>
      </c>
    </row>
    <row r="4" spans="1:24" s="1562" customFormat="1" ht="21" customHeight="1">
      <c r="A4" s="881"/>
      <c r="B4" s="448"/>
      <c r="D4"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578"/>
      <c r="F4" s="257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183</v>
      </c>
      <c r="J6" s="952"/>
      <c r="X6" s="442">
        <v>1</v>
      </c>
    </row>
    <row r="7" spans="1:24" ht="11.45" customHeight="1">
      <c r="D7" s="648"/>
      <c r="E7" s="2696" t="s">
        <v>173</v>
      </c>
      <c r="F7" s="2697"/>
      <c r="G7" s="2706" t="str">
        <f>IF(G6="","",INDEX(DIFFERENTIATION_UNMERGE_VD,MATCH(G6,DIFFERENTIATION_ID_DIFF,0)))</f>
        <v/>
      </c>
      <c r="H7" s="2707"/>
      <c r="I7" s="2706">
        <f>IF(I6="","",INDEX(DIFFERENTIATION_UNMERGE_VD,MATCH(I6,DIFFERENTIATION_ID_DIFF,0)))</f>
        <v>0</v>
      </c>
      <c r="J7" s="2707"/>
      <c r="K7" s="2535"/>
      <c r="L7" s="446"/>
      <c r="X7" s="442">
        <v>11</v>
      </c>
    </row>
    <row r="8" spans="1:24" ht="11.45" customHeight="1">
      <c r="A8" s="641"/>
      <c r="D8" s="648"/>
      <c r="E8" s="2696" t="s">
        <v>643</v>
      </c>
      <c r="F8" s="2697"/>
      <c r="G8" s="2706" t="str">
        <f>IF(G6="","",INDEX(DIFFERENTIATION_UNMERGE_AREA,MATCH(G6,DIFFERENTIATION_ID_DIFF,0)))</f>
        <v/>
      </c>
      <c r="H8" s="2707"/>
      <c r="I8" s="2706" t="str">
        <f>IF(I6="","",INDEX(DIFFERENTIATION_UNMERGE_AREA,MATCH(I6,DIFFERENTIATION_ID_DIFF,0)))</f>
        <v/>
      </c>
      <c r="J8" s="2707"/>
      <c r="K8" s="2540"/>
      <c r="L8" s="446"/>
      <c r="X8" s="442">
        <v>11</v>
      </c>
    </row>
    <row r="9" spans="1:24" ht="11.45" customHeight="1">
      <c r="A9" s="641"/>
      <c r="D9" s="648"/>
      <c r="E9" s="2696" t="s">
        <v>644</v>
      </c>
      <c r="F9" s="2697"/>
      <c r="G9" s="2706" t="str">
        <f>IF(G6="","",INDEX(DIFFERENTIATION_UNMERGE_SYSTEM,MATCH(G6,DIFFERENTIATION_ID_DIFF,0)))</f>
        <v/>
      </c>
      <c r="H9" s="2707"/>
      <c r="I9" s="2706" t="str">
        <f>IF(I6="","",INDEX(DIFFERENTIATION_UNMERGE_SYSTEM,MATCH(I6,DIFFERENTIATION_ID_DIFF,0)))</f>
        <v>без дифференциации</v>
      </c>
      <c r="J9" s="2707"/>
      <c r="K9" s="2540"/>
      <c r="L9" s="446"/>
      <c r="X9" s="442">
        <v>11</v>
      </c>
    </row>
    <row r="10" spans="1:24" s="1562" customFormat="1" ht="11.45" customHeight="1">
      <c r="A10" s="951"/>
      <c r="B10" s="448"/>
      <c r="D10" s="2442" t="s">
        <v>380</v>
      </c>
      <c r="E10" s="2448"/>
      <c r="F10" s="2448"/>
      <c r="G10" s="2448"/>
      <c r="H10" s="2448"/>
      <c r="I10" s="2448"/>
      <c r="J10" s="2441"/>
      <c r="K10" s="2540"/>
      <c r="L10" s="446"/>
      <c r="X10" s="693">
        <v>11</v>
      </c>
    </row>
    <row r="11" spans="1:24" s="1562" customFormat="1" ht="24" customHeight="1">
      <c r="A11" s="2600"/>
      <c r="B11" s="2600"/>
      <c r="C11" s="594"/>
      <c r="D11" s="640" t="s">
        <v>88</v>
      </c>
      <c r="E11" s="642" t="s">
        <v>885</v>
      </c>
      <c r="F11" s="642" t="s">
        <v>645</v>
      </c>
      <c r="G11" s="402" t="s">
        <v>383</v>
      </c>
      <c r="H11" s="402" t="s">
        <v>470</v>
      </c>
      <c r="I11" s="738" t="s">
        <v>383</v>
      </c>
      <c r="J11" s="739" t="s">
        <v>470</v>
      </c>
      <c r="K11" s="2587"/>
      <c r="L11" s="595"/>
      <c r="X11" s="446">
        <v>23</v>
      </c>
    </row>
    <row r="12" spans="1:24" s="1569" customFormat="1" ht="10.5" customHeight="1">
      <c r="A12" s="882"/>
      <c r="D12" s="955" t="s">
        <v>177</v>
      </c>
      <c r="E12" s="955" t="s">
        <v>102</v>
      </c>
      <c r="F12" s="955" t="s">
        <v>90</v>
      </c>
      <c r="G12" s="956" t="str">
        <f>G1&amp;".1"</f>
        <v>4.1</v>
      </c>
      <c r="H12" s="956" t="str">
        <f>G1&amp;".2"</f>
        <v>4.2</v>
      </c>
      <c r="I12" s="956" t="str">
        <f>I1&amp;".1"</f>
        <v>4.1</v>
      </c>
      <c r="J12" s="956" t="str">
        <f>I1&amp;".2"</f>
        <v>4.2</v>
      </c>
      <c r="K12" s="956"/>
      <c r="X12" s="448">
        <v>10</v>
      </c>
    </row>
    <row r="13" spans="1:24" ht="22.5" hidden="1" customHeight="1">
      <c r="A13" s="2708" t="s">
        <v>886</v>
      </c>
      <c r="D13" s="883" t="s">
        <v>177</v>
      </c>
      <c r="E13" s="216" t="s">
        <v>887</v>
      </c>
      <c r="F13" s="597" t="s">
        <v>888</v>
      </c>
      <c r="G13" s="494"/>
      <c r="H13" s="598"/>
      <c r="I13" s="494"/>
      <c r="J13" s="598"/>
      <c r="K13" s="226" t="s">
        <v>889</v>
      </c>
      <c r="L13" s="657"/>
      <c r="X13" s="442">
        <v>0</v>
      </c>
    </row>
    <row r="14" spans="1:24" ht="22.5" hidden="1" customHeight="1">
      <c r="A14" s="2708"/>
      <c r="D14" s="476" t="s">
        <v>102</v>
      </c>
      <c r="E14" s="216" t="s">
        <v>890</v>
      </c>
      <c r="F14" s="597" t="s">
        <v>891</v>
      </c>
      <c r="G14" s="494"/>
      <c r="H14" s="599"/>
      <c r="I14" s="494"/>
      <c r="J14" s="599"/>
      <c r="K14" s="226" t="s">
        <v>892</v>
      </c>
      <c r="L14" s="657"/>
      <c r="X14" s="442">
        <v>0</v>
      </c>
    </row>
    <row r="15" spans="1:24" s="1562" customFormat="1" ht="78.75" hidden="1" customHeight="1">
      <c r="A15" s="2708"/>
      <c r="B15" s="448"/>
      <c r="D15" s="883" t="s">
        <v>90</v>
      </c>
      <c r="E15" s="644" t="s">
        <v>893</v>
      </c>
      <c r="F15" s="880" t="s">
        <v>386</v>
      </c>
      <c r="G15" s="880" t="s">
        <v>386</v>
      </c>
      <c r="H15" s="45"/>
      <c r="I15" s="880" t="s">
        <v>386</v>
      </c>
      <c r="J15" s="45"/>
      <c r="K15" s="226" t="s">
        <v>894</v>
      </c>
      <c r="L15" s="657"/>
      <c r="X15" s="693">
        <v>0</v>
      </c>
    </row>
    <row r="16" spans="1:24" s="1562" customFormat="1" ht="22.5" hidden="1" customHeight="1">
      <c r="A16" s="2708"/>
      <c r="B16" s="448"/>
      <c r="D16" s="883" t="s">
        <v>404</v>
      </c>
      <c r="E16" s="884" t="s">
        <v>895</v>
      </c>
      <c r="F16" s="880" t="s">
        <v>896</v>
      </c>
      <c r="G16" s="748"/>
      <c r="H16" s="45"/>
      <c r="I16" s="748"/>
      <c r="J16" s="45"/>
      <c r="K16" s="226"/>
      <c r="L16" s="657"/>
      <c r="X16" s="693">
        <v>0</v>
      </c>
    </row>
    <row r="17" spans="1:24" s="1562" customFormat="1" ht="22.5" hidden="1" customHeight="1">
      <c r="A17" s="2708"/>
      <c r="B17" s="448"/>
      <c r="D17" s="883" t="s">
        <v>412</v>
      </c>
      <c r="E17" s="884" t="s">
        <v>897</v>
      </c>
      <c r="F17" s="880" t="s">
        <v>898</v>
      </c>
      <c r="G17" s="748"/>
      <c r="H17" s="45"/>
      <c r="I17" s="748"/>
      <c r="J17" s="45"/>
      <c r="K17" s="226"/>
      <c r="L17" s="657"/>
      <c r="X17" s="693">
        <v>0</v>
      </c>
    </row>
    <row r="18" spans="1:24" s="1562" customFormat="1" ht="33.75" hidden="1" customHeight="1">
      <c r="A18" s="2708"/>
      <c r="B18" s="448"/>
      <c r="D18" s="883" t="s">
        <v>414</v>
      </c>
      <c r="E18" s="884" t="s">
        <v>899</v>
      </c>
      <c r="F18" s="880" t="s">
        <v>650</v>
      </c>
      <c r="G18" s="617"/>
      <c r="H18" s="45"/>
      <c r="I18" s="617"/>
      <c r="J18" s="45"/>
      <c r="K18" s="226"/>
      <c r="L18" s="657"/>
      <c r="X18" s="693">
        <v>0</v>
      </c>
    </row>
    <row r="19" spans="1:24" ht="101.25" hidden="1" customHeight="1">
      <c r="A19" s="2708"/>
      <c r="D19" s="883" t="s">
        <v>91</v>
      </c>
      <c r="E19" s="216" t="s">
        <v>900</v>
      </c>
      <c r="F19" s="597" t="s">
        <v>625</v>
      </c>
      <c r="G19" s="600"/>
      <c r="H19" s="599"/>
      <c r="I19" s="885"/>
      <c r="J19" s="599"/>
      <c r="K19" s="226" t="s">
        <v>901</v>
      </c>
      <c r="L19" s="657"/>
      <c r="X19" s="442">
        <v>0</v>
      </c>
    </row>
    <row r="20" spans="1:24" s="1562" customFormat="1" ht="18.75" hidden="1" customHeight="1">
      <c r="A20" s="2708"/>
      <c r="C20" s="886"/>
      <c r="D20" s="883" t="s">
        <v>832</v>
      </c>
      <c r="E20" s="884" t="s">
        <v>902</v>
      </c>
      <c r="F20" s="880" t="s">
        <v>386</v>
      </c>
      <c r="G20" s="880" t="s">
        <v>386</v>
      </c>
      <c r="H20" s="879" t="s">
        <v>386</v>
      </c>
      <c r="I20" s="880" t="s">
        <v>386</v>
      </c>
      <c r="J20" s="879" t="s">
        <v>386</v>
      </c>
      <c r="K20" s="878"/>
      <c r="L20" s="657"/>
      <c r="W20" s="612"/>
      <c r="X20" s="693">
        <v>0</v>
      </c>
    </row>
    <row r="21" spans="1:24" s="1562" customFormat="1" ht="33.75" hidden="1" customHeight="1">
      <c r="A21" s="2708"/>
      <c r="C21" s="886"/>
      <c r="D21" s="883" t="s">
        <v>835</v>
      </c>
      <c r="E21" s="513" t="s">
        <v>903</v>
      </c>
      <c r="F21" s="880" t="s">
        <v>904</v>
      </c>
      <c r="G21" s="617"/>
      <c r="H21" s="45"/>
      <c r="I21" s="617"/>
      <c r="J21" s="45"/>
      <c r="K21" s="878"/>
      <c r="L21" s="657"/>
      <c r="W21" s="612"/>
      <c r="X21" s="693">
        <v>0</v>
      </c>
    </row>
    <row r="22" spans="1:24" s="1562" customFormat="1" ht="33.75" hidden="1" customHeight="1">
      <c r="A22" s="2708"/>
      <c r="C22" s="886"/>
      <c r="D22" s="883" t="s">
        <v>838</v>
      </c>
      <c r="E22" s="513" t="s">
        <v>905</v>
      </c>
      <c r="F22" s="880" t="s">
        <v>906</v>
      </c>
      <c r="G22" s="617"/>
      <c r="H22" s="45"/>
      <c r="I22" s="617"/>
      <c r="J22" s="45"/>
      <c r="K22" s="878"/>
      <c r="L22" s="657"/>
      <c r="W22" s="612"/>
      <c r="X22" s="693">
        <v>0</v>
      </c>
    </row>
    <row r="23" spans="1:24" s="1562" customFormat="1" ht="22.5" hidden="1" customHeight="1">
      <c r="A23" s="2708"/>
      <c r="C23" s="886"/>
      <c r="D23" s="883" t="s">
        <v>874</v>
      </c>
      <c r="E23" s="884" t="s">
        <v>907</v>
      </c>
      <c r="F23" s="880" t="s">
        <v>386</v>
      </c>
      <c r="G23" s="880" t="s">
        <v>386</v>
      </c>
      <c r="H23" s="879" t="s">
        <v>386</v>
      </c>
      <c r="I23" s="880" t="s">
        <v>386</v>
      </c>
      <c r="J23" s="879" t="s">
        <v>386</v>
      </c>
      <c r="K23" s="878"/>
      <c r="L23" s="657"/>
      <c r="W23" s="612"/>
      <c r="X23" s="693">
        <v>0</v>
      </c>
    </row>
    <row r="24" spans="1:24" s="1562" customFormat="1" ht="22.5" hidden="1" customHeight="1">
      <c r="A24" s="2708"/>
      <c r="C24" s="886"/>
      <c r="D24" s="883" t="s">
        <v>908</v>
      </c>
      <c r="E24" s="513" t="s">
        <v>909</v>
      </c>
      <c r="F24" s="880" t="s">
        <v>910</v>
      </c>
      <c r="G24" s="617"/>
      <c r="H24" s="623"/>
      <c r="I24" s="617"/>
      <c r="J24" s="623"/>
      <c r="K24" s="878"/>
      <c r="L24" s="657"/>
      <c r="W24" s="612"/>
      <c r="X24" s="693">
        <v>0</v>
      </c>
    </row>
    <row r="25" spans="1:24" s="1562" customFormat="1" ht="22.5" hidden="1" customHeight="1">
      <c r="A25" s="2708"/>
      <c r="C25" s="886"/>
      <c r="D25" s="883" t="s">
        <v>911</v>
      </c>
      <c r="E25" s="513" t="s">
        <v>912</v>
      </c>
      <c r="F25" s="880" t="s">
        <v>386</v>
      </c>
      <c r="G25" s="880" t="s">
        <v>386</v>
      </c>
      <c r="H25" s="879" t="s">
        <v>386</v>
      </c>
      <c r="I25" s="880" t="s">
        <v>386</v>
      </c>
      <c r="J25" s="879" t="s">
        <v>386</v>
      </c>
      <c r="K25" s="878"/>
      <c r="L25" s="657"/>
      <c r="W25" s="612"/>
      <c r="X25" s="693">
        <v>0</v>
      </c>
    </row>
    <row r="26" spans="1:24" s="1562" customFormat="1" ht="18.75" hidden="1" customHeight="1">
      <c r="A26" s="2708"/>
      <c r="C26" s="886"/>
      <c r="D26" s="883" t="s">
        <v>913</v>
      </c>
      <c r="E26" s="490" t="s">
        <v>914</v>
      </c>
      <c r="F26" s="880" t="s">
        <v>915</v>
      </c>
      <c r="G26" s="617"/>
      <c r="H26" s="623"/>
      <c r="I26" s="617"/>
      <c r="J26" s="623"/>
      <c r="K26" s="878"/>
      <c r="L26" s="657"/>
      <c r="W26" s="612"/>
      <c r="X26" s="693">
        <v>0</v>
      </c>
    </row>
    <row r="27" spans="1:24" s="1562" customFormat="1" ht="18.75" hidden="1" customHeight="1">
      <c r="A27" s="2708"/>
      <c r="C27" s="886"/>
      <c r="D27" s="883" t="s">
        <v>916</v>
      </c>
      <c r="E27" s="490" t="s">
        <v>917</v>
      </c>
      <c r="F27" s="880" t="s">
        <v>918</v>
      </c>
      <c r="G27" s="617"/>
      <c r="H27" s="623"/>
      <c r="I27" s="617"/>
      <c r="J27" s="623"/>
      <c r="K27" s="878"/>
      <c r="L27" s="657"/>
      <c r="W27" s="612"/>
      <c r="X27" s="693">
        <v>0</v>
      </c>
    </row>
    <row r="28" spans="1:24" s="1562" customFormat="1" ht="18.75" hidden="1" customHeight="1">
      <c r="A28" s="2708"/>
      <c r="C28" s="886"/>
      <c r="D28" s="883" t="s">
        <v>919</v>
      </c>
      <c r="E28" s="513" t="s">
        <v>920</v>
      </c>
      <c r="F28" s="880" t="s">
        <v>386</v>
      </c>
      <c r="G28" s="880" t="s">
        <v>386</v>
      </c>
      <c r="H28" s="879" t="s">
        <v>386</v>
      </c>
      <c r="I28" s="880" t="s">
        <v>386</v>
      </c>
      <c r="J28" s="879" t="s">
        <v>386</v>
      </c>
      <c r="K28" s="878"/>
      <c r="L28" s="657"/>
      <c r="W28" s="612"/>
      <c r="X28" s="693">
        <v>0</v>
      </c>
    </row>
    <row r="29" spans="1:24" s="1562" customFormat="1" ht="18.75" hidden="1" customHeight="1">
      <c r="A29" s="2708"/>
      <c r="C29" s="886"/>
      <c r="D29" s="883" t="s">
        <v>921</v>
      </c>
      <c r="E29" s="490" t="s">
        <v>914</v>
      </c>
      <c r="F29" s="880" t="s">
        <v>922</v>
      </c>
      <c r="G29" s="617"/>
      <c r="H29" s="623"/>
      <c r="I29" s="617"/>
      <c r="J29" s="623"/>
      <c r="K29" s="878"/>
      <c r="L29" s="657"/>
      <c r="W29" s="612"/>
      <c r="X29" s="693">
        <v>0</v>
      </c>
    </row>
    <row r="30" spans="1:24" s="1562" customFormat="1" ht="18.75" hidden="1" customHeight="1">
      <c r="A30" s="2708"/>
      <c r="C30" s="886"/>
      <c r="D30" s="883" t="s">
        <v>923</v>
      </c>
      <c r="E30" s="490" t="s">
        <v>924</v>
      </c>
      <c r="F30" s="880" t="s">
        <v>925</v>
      </c>
      <c r="G30" s="617"/>
      <c r="H30" s="623"/>
      <c r="I30" s="617"/>
      <c r="J30" s="623"/>
      <c r="K30" s="878"/>
      <c r="L30" s="657"/>
      <c r="W30" s="612"/>
      <c r="X30" s="693">
        <v>0</v>
      </c>
    </row>
    <row r="31" spans="1:24" ht="126.75" hidden="1" customHeight="1">
      <c r="A31" s="2708"/>
      <c r="D31" s="883" t="s">
        <v>127</v>
      </c>
      <c r="E31" s="216" t="s">
        <v>926</v>
      </c>
      <c r="F31" s="597" t="s">
        <v>637</v>
      </c>
      <c r="G31" s="494"/>
      <c r="H31" s="599"/>
      <c r="I31" s="494"/>
      <c r="J31" s="599"/>
      <c r="K31" s="226" t="s">
        <v>927</v>
      </c>
      <c r="L31" s="657"/>
      <c r="X31" s="442">
        <v>0</v>
      </c>
    </row>
    <row r="32" spans="1:24" ht="56.25" hidden="1" customHeight="1">
      <c r="A32" s="2708"/>
      <c r="D32" s="883" t="s">
        <v>92</v>
      </c>
      <c r="E32" s="216" t="s">
        <v>928</v>
      </c>
      <c r="F32" s="476" t="s">
        <v>898</v>
      </c>
      <c r="G32" s="494"/>
      <c r="H32" s="599"/>
      <c r="I32" s="494"/>
      <c r="J32" s="599"/>
      <c r="K32" s="226" t="s">
        <v>929</v>
      </c>
      <c r="L32" s="657"/>
      <c r="X32" s="442">
        <v>0</v>
      </c>
    </row>
    <row r="33" spans="1:24" ht="11.25" hidden="1" customHeight="1">
      <c r="A33" s="2708"/>
      <c r="E33" s="601"/>
      <c r="F33" s="118"/>
      <c r="G33" s="118"/>
      <c r="H33" s="118"/>
      <c r="I33" s="118"/>
      <c r="J33" s="118"/>
      <c r="K33" s="118"/>
      <c r="X33" s="442">
        <v>0</v>
      </c>
    </row>
    <row r="34" spans="1:24" ht="12.75" hidden="1" customHeight="1">
      <c r="A34" s="2708"/>
      <c r="D34" s="4">
        <v>1</v>
      </c>
      <c r="E34" s="272" t="s">
        <v>930</v>
      </c>
      <c r="X34" s="442">
        <v>0</v>
      </c>
    </row>
    <row r="35" spans="1:24" ht="11.25" hidden="1" customHeight="1">
      <c r="A35" s="2708"/>
      <c r="D35" s="306"/>
      <c r="E35" s="272" t="s">
        <v>931</v>
      </c>
      <c r="X35" s="442">
        <v>0</v>
      </c>
    </row>
    <row r="36" spans="1:24" s="1562" customFormat="1" ht="11.45" customHeight="1">
      <c r="A36" s="963"/>
      <c r="B36" s="455"/>
      <c r="D36" s="964"/>
      <c r="E36" s="965"/>
      <c r="X36" s="446">
        <v>11</v>
      </c>
    </row>
    <row r="37" spans="1:24" s="1562" customFormat="1" ht="22.5" customHeight="1">
      <c r="A37" s="2708" t="s">
        <v>932</v>
      </c>
      <c r="B37" s="448"/>
      <c r="D37" s="883">
        <v>1</v>
      </c>
      <c r="E37" s="644" t="s">
        <v>933</v>
      </c>
      <c r="F37" s="597" t="s">
        <v>888</v>
      </c>
      <c r="G37" s="494"/>
      <c r="H37" s="456"/>
      <c r="I37" s="494"/>
      <c r="J37" s="456"/>
      <c r="K37" s="226" t="s">
        <v>934</v>
      </c>
      <c r="X37" s="693">
        <v>0</v>
      </c>
    </row>
    <row r="38" spans="1:24" s="1562" customFormat="1" ht="22.5" customHeight="1">
      <c r="A38" s="2708"/>
      <c r="B38" s="448"/>
      <c r="D38" s="606" t="s">
        <v>102</v>
      </c>
      <c r="E38" s="962" t="s">
        <v>935</v>
      </c>
      <c r="F38" s="966" t="s">
        <v>625</v>
      </c>
      <c r="G38" s="966" t="s">
        <v>625</v>
      </c>
      <c r="H38" s="960"/>
      <c r="I38" s="966" t="s">
        <v>625</v>
      </c>
      <c r="J38" s="960"/>
      <c r="K38" s="961"/>
      <c r="X38" s="693">
        <v>0</v>
      </c>
    </row>
    <row r="39" spans="1:24" s="1562" customFormat="1" ht="33.75" customHeight="1">
      <c r="A39" s="2708"/>
      <c r="B39" s="448"/>
      <c r="D39" s="602" t="s">
        <v>790</v>
      </c>
      <c r="E39" s="660" t="s">
        <v>936</v>
      </c>
      <c r="F39" s="597" t="s">
        <v>937</v>
      </c>
      <c r="G39" s="605"/>
      <c r="H39" s="953"/>
      <c r="I39" s="605"/>
      <c r="J39" s="953"/>
      <c r="K39" s="226" t="s">
        <v>938</v>
      </c>
      <c r="X39" s="693">
        <v>0</v>
      </c>
    </row>
    <row r="40" spans="1:24" s="1562" customFormat="1" ht="33.75" customHeight="1">
      <c r="A40" s="2708"/>
      <c r="B40" s="448"/>
      <c r="D40" s="602" t="s">
        <v>793</v>
      </c>
      <c r="E40" s="660" t="s">
        <v>939</v>
      </c>
      <c r="F40" s="957" t="s">
        <v>940</v>
      </c>
      <c r="G40" s="678"/>
      <c r="H40" s="953"/>
      <c r="I40" s="678"/>
      <c r="J40" s="953"/>
      <c r="K40" s="226" t="s">
        <v>941</v>
      </c>
      <c r="X40" s="693">
        <v>0</v>
      </c>
    </row>
    <row r="41" spans="1:24" s="1562" customFormat="1" ht="22.5" customHeight="1">
      <c r="A41" s="2708"/>
      <c r="B41" s="448"/>
      <c r="D41" s="602" t="s">
        <v>90</v>
      </c>
      <c r="E41" s="659" t="s">
        <v>942</v>
      </c>
      <c r="F41" s="597" t="s">
        <v>625</v>
      </c>
      <c r="G41" s="597" t="s">
        <v>625</v>
      </c>
      <c r="H41" s="954"/>
      <c r="I41" s="597" t="s">
        <v>625</v>
      </c>
      <c r="J41" s="954"/>
      <c r="K41" s="239"/>
      <c r="X41" s="693">
        <v>0</v>
      </c>
    </row>
    <row r="42" spans="1:24" s="1562" customFormat="1" ht="45" customHeight="1">
      <c r="A42" s="2708"/>
      <c r="B42" s="448"/>
      <c r="D42" s="602" t="s">
        <v>404</v>
      </c>
      <c r="E42" s="660" t="s">
        <v>943</v>
      </c>
      <c r="F42" s="597" t="s">
        <v>637</v>
      </c>
      <c r="G42" s="494"/>
      <c r="H42" s="954"/>
      <c r="I42" s="494"/>
      <c r="J42" s="954"/>
      <c r="K42" s="239" t="s">
        <v>944</v>
      </c>
      <c r="X42" s="693">
        <v>0</v>
      </c>
    </row>
    <row r="43" spans="1:24" s="1562" customFormat="1" ht="45" customHeight="1">
      <c r="A43" s="2708"/>
      <c r="B43" s="448"/>
      <c r="D43" s="602" t="s">
        <v>412</v>
      </c>
      <c r="E43" s="604" t="s">
        <v>945</v>
      </c>
      <c r="F43" s="958" t="s">
        <v>637</v>
      </c>
      <c r="G43" s="679"/>
      <c r="H43" s="953"/>
      <c r="I43" s="679"/>
      <c r="J43" s="953"/>
      <c r="K43" s="239" t="s">
        <v>946</v>
      </c>
      <c r="X43" s="693">
        <v>0</v>
      </c>
    </row>
    <row r="44" spans="1:24" s="1562" customFormat="1" ht="11.25" customHeight="1">
      <c r="A44" s="2708"/>
      <c r="B44" s="448"/>
      <c r="D44" s="602" t="s">
        <v>91</v>
      </c>
      <c r="E44" s="603" t="s">
        <v>947</v>
      </c>
      <c r="F44" s="597" t="s">
        <v>937</v>
      </c>
      <c r="G44" s="605"/>
      <c r="H44" s="953"/>
      <c r="I44" s="605"/>
      <c r="J44" s="953"/>
      <c r="K44" s="226"/>
      <c r="X44" s="693">
        <v>0</v>
      </c>
    </row>
    <row r="45" spans="1:24" s="1562" customFormat="1" ht="11.25" customHeight="1">
      <c r="A45" s="2708"/>
      <c r="B45" s="448"/>
      <c r="D45" s="602" t="s">
        <v>832</v>
      </c>
      <c r="E45" s="604" t="s">
        <v>948</v>
      </c>
      <c r="F45" s="597" t="s">
        <v>937</v>
      </c>
      <c r="G45" s="605"/>
      <c r="H45" s="953"/>
      <c r="I45" s="605"/>
      <c r="J45" s="953"/>
      <c r="K45" s="226"/>
      <c r="X45" s="693">
        <v>0</v>
      </c>
    </row>
    <row r="46" spans="1:24" s="1562" customFormat="1" ht="11.25" customHeight="1">
      <c r="A46" s="2708"/>
      <c r="B46" s="448"/>
      <c r="D46" s="602" t="s">
        <v>874</v>
      </c>
      <c r="E46" s="604" t="s">
        <v>949</v>
      </c>
      <c r="F46" s="597" t="s">
        <v>937</v>
      </c>
      <c r="G46" s="605"/>
      <c r="H46" s="953"/>
      <c r="I46" s="605"/>
      <c r="J46" s="953"/>
      <c r="K46" s="226"/>
      <c r="X46" s="693">
        <v>0</v>
      </c>
    </row>
    <row r="47" spans="1:24" s="1562" customFormat="1" ht="11.25" customHeight="1">
      <c r="A47" s="2708"/>
      <c r="B47" s="448"/>
      <c r="D47" s="602" t="s">
        <v>877</v>
      </c>
      <c r="E47" s="604" t="s">
        <v>950</v>
      </c>
      <c r="F47" s="597" t="s">
        <v>937</v>
      </c>
      <c r="G47" s="605"/>
      <c r="H47" s="953"/>
      <c r="I47" s="605"/>
      <c r="J47" s="953"/>
      <c r="K47" s="226"/>
      <c r="X47" s="693">
        <v>0</v>
      </c>
    </row>
    <row r="48" spans="1:24" s="1562" customFormat="1" ht="11.25" customHeight="1">
      <c r="A48" s="2708"/>
      <c r="B48" s="448"/>
      <c r="D48" s="602" t="s">
        <v>951</v>
      </c>
      <c r="E48" s="608" t="s">
        <v>952</v>
      </c>
      <c r="F48" s="597" t="s">
        <v>937</v>
      </c>
      <c r="G48" s="605"/>
      <c r="H48" s="953"/>
      <c r="I48" s="605"/>
      <c r="J48" s="953"/>
      <c r="K48" s="226"/>
      <c r="X48" s="693">
        <v>0</v>
      </c>
    </row>
    <row r="49" spans="1:24" s="1562" customFormat="1" ht="11.25" customHeight="1">
      <c r="A49" s="2708"/>
      <c r="B49" s="448"/>
      <c r="D49" s="602" t="s">
        <v>953</v>
      </c>
      <c r="E49" s="608" t="s">
        <v>954</v>
      </c>
      <c r="F49" s="597" t="s">
        <v>937</v>
      </c>
      <c r="G49" s="605"/>
      <c r="H49" s="953"/>
      <c r="I49" s="605"/>
      <c r="J49" s="953"/>
      <c r="K49" s="226"/>
      <c r="X49" s="693">
        <v>0</v>
      </c>
    </row>
    <row r="50" spans="1:24" s="1562" customFormat="1" ht="11.25" customHeight="1">
      <c r="A50" s="2708"/>
      <c r="B50" s="448"/>
      <c r="D50" s="602" t="s">
        <v>955</v>
      </c>
      <c r="E50" s="604" t="s">
        <v>956</v>
      </c>
      <c r="F50" s="597" t="s">
        <v>937</v>
      </c>
      <c r="G50" s="605"/>
      <c r="H50" s="953"/>
      <c r="I50" s="605"/>
      <c r="J50" s="953"/>
      <c r="K50" s="226"/>
      <c r="X50" s="693">
        <v>0</v>
      </c>
    </row>
    <row r="51" spans="1:24" s="1562" customFormat="1" ht="11.25" customHeight="1">
      <c r="A51" s="2708"/>
      <c r="B51" s="448"/>
      <c r="D51" s="602" t="s">
        <v>957</v>
      </c>
      <c r="E51" s="604" t="s">
        <v>958</v>
      </c>
      <c r="F51" s="597" t="s">
        <v>937</v>
      </c>
      <c r="G51" s="605"/>
      <c r="H51" s="953"/>
      <c r="I51" s="605"/>
      <c r="J51" s="953"/>
      <c r="K51" s="226"/>
      <c r="X51" s="693">
        <v>0</v>
      </c>
    </row>
    <row r="52" spans="1:24" s="1562" customFormat="1" ht="45" customHeight="1">
      <c r="A52" s="2708"/>
      <c r="B52" s="448"/>
      <c r="D52" s="602" t="s">
        <v>127</v>
      </c>
      <c r="E52" s="603" t="s">
        <v>959</v>
      </c>
      <c r="F52" s="597" t="s">
        <v>937</v>
      </c>
      <c r="G52" s="605"/>
      <c r="H52" s="953"/>
      <c r="I52" s="605"/>
      <c r="J52" s="953"/>
      <c r="K52" s="226"/>
      <c r="X52" s="693">
        <v>0</v>
      </c>
    </row>
    <row r="53" spans="1:24" s="1562" customFormat="1" ht="11.25" customHeight="1">
      <c r="A53" s="2708"/>
      <c r="B53" s="448"/>
      <c r="D53" s="602" t="s">
        <v>393</v>
      </c>
      <c r="E53" s="604" t="s">
        <v>948</v>
      </c>
      <c r="F53" s="597" t="s">
        <v>937</v>
      </c>
      <c r="G53" s="605"/>
      <c r="H53" s="953"/>
      <c r="I53" s="605"/>
      <c r="J53" s="953"/>
      <c r="K53" s="226"/>
      <c r="X53" s="693">
        <v>0</v>
      </c>
    </row>
    <row r="54" spans="1:24" s="1562" customFormat="1" ht="11.25" customHeight="1">
      <c r="A54" s="2708"/>
      <c r="B54" s="448"/>
      <c r="D54" s="602" t="s">
        <v>960</v>
      </c>
      <c r="E54" s="604" t="s">
        <v>949</v>
      </c>
      <c r="F54" s="597" t="s">
        <v>937</v>
      </c>
      <c r="G54" s="605"/>
      <c r="H54" s="953"/>
      <c r="I54" s="605"/>
      <c r="J54" s="953"/>
      <c r="K54" s="226"/>
      <c r="X54" s="693">
        <v>0</v>
      </c>
    </row>
    <row r="55" spans="1:24" s="1562" customFormat="1" ht="11.25" customHeight="1">
      <c r="A55" s="2708"/>
      <c r="B55" s="448"/>
      <c r="D55" s="602" t="s">
        <v>961</v>
      </c>
      <c r="E55" s="604" t="s">
        <v>950</v>
      </c>
      <c r="F55" s="597" t="s">
        <v>937</v>
      </c>
      <c r="G55" s="605"/>
      <c r="H55" s="953"/>
      <c r="I55" s="605"/>
      <c r="J55" s="953"/>
      <c r="K55" s="226"/>
      <c r="X55" s="693">
        <v>0</v>
      </c>
    </row>
    <row r="56" spans="1:24" s="1562" customFormat="1" ht="11.25" customHeight="1">
      <c r="A56" s="2708"/>
      <c r="B56" s="448"/>
      <c r="D56" s="602" t="s">
        <v>962</v>
      </c>
      <c r="E56" s="608" t="s">
        <v>952</v>
      </c>
      <c r="F56" s="597" t="s">
        <v>937</v>
      </c>
      <c r="G56" s="605"/>
      <c r="H56" s="953"/>
      <c r="I56" s="605"/>
      <c r="J56" s="953"/>
      <c r="K56" s="226"/>
      <c r="X56" s="693">
        <v>0</v>
      </c>
    </row>
    <row r="57" spans="1:24" s="1562" customFormat="1" ht="11.25" customHeight="1">
      <c r="A57" s="2708"/>
      <c r="B57" s="448"/>
      <c r="D57" s="602" t="s">
        <v>963</v>
      </c>
      <c r="E57" s="608" t="s">
        <v>954</v>
      </c>
      <c r="F57" s="597" t="s">
        <v>937</v>
      </c>
      <c r="G57" s="605"/>
      <c r="H57" s="953"/>
      <c r="I57" s="605"/>
      <c r="J57" s="953"/>
      <c r="K57" s="226"/>
      <c r="X57" s="693">
        <v>0</v>
      </c>
    </row>
    <row r="58" spans="1:24" s="1562" customFormat="1" ht="11.25" customHeight="1">
      <c r="A58" s="2708"/>
      <c r="B58" s="448"/>
      <c r="D58" s="602" t="s">
        <v>964</v>
      </c>
      <c r="E58" s="604" t="s">
        <v>956</v>
      </c>
      <c r="F58" s="597" t="s">
        <v>937</v>
      </c>
      <c r="G58" s="605"/>
      <c r="H58" s="953"/>
      <c r="I58" s="605"/>
      <c r="J58" s="953"/>
      <c r="K58" s="226"/>
      <c r="X58" s="693">
        <v>0</v>
      </c>
    </row>
    <row r="59" spans="1:24" s="1562" customFormat="1" ht="11.25" customHeight="1">
      <c r="A59" s="2708"/>
      <c r="B59" s="448"/>
      <c r="D59" s="602" t="s">
        <v>965</v>
      </c>
      <c r="E59" s="604" t="s">
        <v>958</v>
      </c>
      <c r="F59" s="597" t="s">
        <v>937</v>
      </c>
      <c r="G59" s="605"/>
      <c r="H59" s="953"/>
      <c r="I59" s="605"/>
      <c r="J59" s="953"/>
      <c r="K59" s="226"/>
      <c r="X59" s="693">
        <v>0</v>
      </c>
    </row>
    <row r="60" spans="1:24" s="1562" customFormat="1" ht="33.75" customHeight="1">
      <c r="A60" s="2708"/>
      <c r="B60" s="448"/>
      <c r="D60" s="602" t="s">
        <v>92</v>
      </c>
      <c r="E60" s="603" t="s">
        <v>966</v>
      </c>
      <c r="F60" s="658" t="s">
        <v>637</v>
      </c>
      <c r="G60" s="679"/>
      <c r="H60" s="953"/>
      <c r="I60" s="679"/>
      <c r="J60" s="953"/>
      <c r="K60" s="239" t="s">
        <v>967</v>
      </c>
      <c r="X60" s="693">
        <v>0</v>
      </c>
    </row>
    <row r="61" spans="1:24" s="1562" customFormat="1" ht="33.75" customHeight="1">
      <c r="A61" s="2708"/>
      <c r="B61" s="448"/>
      <c r="D61" s="602" t="s">
        <v>93</v>
      </c>
      <c r="E61" s="603" t="s">
        <v>968</v>
      </c>
      <c r="F61" s="663" t="s">
        <v>898</v>
      </c>
      <c r="G61" s="605"/>
      <c r="H61" s="953"/>
      <c r="I61" s="605"/>
      <c r="J61" s="953"/>
      <c r="K61" s="226"/>
      <c r="X61" s="693">
        <v>0</v>
      </c>
    </row>
    <row r="62" spans="1:24" s="1562" customFormat="1" ht="22.5" customHeight="1">
      <c r="A62" s="2708"/>
      <c r="B62" s="448" t="s">
        <v>667</v>
      </c>
      <c r="D62" s="602" t="s">
        <v>178</v>
      </c>
      <c r="E62" s="603" t="s">
        <v>969</v>
      </c>
      <c r="F62" s="663" t="s">
        <v>386</v>
      </c>
      <c r="G62" s="319"/>
      <c r="H62" s="953"/>
      <c r="I62" s="319"/>
      <c r="J62" s="953"/>
      <c r="K62" s="226" t="s">
        <v>710</v>
      </c>
      <c r="X62" s="693">
        <v>0</v>
      </c>
    </row>
    <row r="63" spans="1:24" s="1562" customFormat="1" ht="45" customHeight="1">
      <c r="A63" s="2708"/>
      <c r="B63" s="448" t="s">
        <v>667</v>
      </c>
      <c r="D63" s="602" t="s">
        <v>970</v>
      </c>
      <c r="E63" s="604" t="s">
        <v>971</v>
      </c>
      <c r="F63" s="658" t="s">
        <v>386</v>
      </c>
      <c r="G63" s="319"/>
      <c r="H63" s="953"/>
      <c r="I63" s="319"/>
      <c r="J63" s="953"/>
      <c r="K63" s="226" t="s">
        <v>710</v>
      </c>
      <c r="X63" s="693">
        <v>0</v>
      </c>
    </row>
    <row r="64" spans="1:24" s="1562" customFormat="1" ht="11.45" customHeight="1">
      <c r="A64" s="963"/>
      <c r="B64" s="455"/>
      <c r="D64" s="964"/>
      <c r="E64" s="965"/>
      <c r="X64" s="446">
        <v>11</v>
      </c>
    </row>
    <row r="65" spans="1:24" s="1562" customFormat="1" ht="22.5" hidden="1" customHeight="1">
      <c r="A65" s="2708" t="s">
        <v>972</v>
      </c>
      <c r="B65" s="448"/>
      <c r="D65" s="602">
        <v>1</v>
      </c>
      <c r="E65" s="681" t="s">
        <v>973</v>
      </c>
      <c r="F65" s="677" t="s">
        <v>888</v>
      </c>
      <c r="G65" s="678"/>
      <c r="H65" s="959"/>
      <c r="I65" s="678"/>
      <c r="J65" s="959"/>
      <c r="K65" s="238" t="s">
        <v>974</v>
      </c>
      <c r="X65" s="693">
        <v>0</v>
      </c>
    </row>
    <row r="66" spans="1:24" s="1562" customFormat="1" ht="56.25" hidden="1" customHeight="1">
      <c r="A66" s="2708"/>
      <c r="B66" s="448"/>
      <c r="D66" s="680" t="s">
        <v>102</v>
      </c>
      <c r="E66" s="644" t="s">
        <v>975</v>
      </c>
      <c r="F66" s="597" t="s">
        <v>625</v>
      </c>
      <c r="G66" s="597" t="s">
        <v>625</v>
      </c>
      <c r="H66" s="456"/>
      <c r="I66" s="597" t="s">
        <v>625</v>
      </c>
      <c r="J66" s="456"/>
      <c r="K66" s="226"/>
      <c r="X66" s="693">
        <v>0</v>
      </c>
    </row>
    <row r="67" spans="1:24" s="1562" customFormat="1" ht="33.75" hidden="1" customHeight="1">
      <c r="A67" s="2708"/>
      <c r="B67" s="448"/>
      <c r="D67" s="680" t="s">
        <v>787</v>
      </c>
      <c r="E67" s="884" t="s">
        <v>976</v>
      </c>
      <c r="F67" s="597" t="s">
        <v>940</v>
      </c>
      <c r="G67" s="664"/>
      <c r="H67" s="456"/>
      <c r="I67" s="664"/>
      <c r="J67" s="456"/>
      <c r="K67" s="226"/>
      <c r="X67" s="693">
        <v>0</v>
      </c>
    </row>
    <row r="68" spans="1:24" s="1562" customFormat="1" ht="22.5" hidden="1" customHeight="1">
      <c r="A68" s="2708"/>
      <c r="B68" s="448"/>
      <c r="D68" s="680" t="s">
        <v>387</v>
      </c>
      <c r="E68" s="884" t="s">
        <v>977</v>
      </c>
      <c r="F68" s="597" t="s">
        <v>940</v>
      </c>
      <c r="G68" s="664"/>
      <c r="H68" s="456"/>
      <c r="I68" s="664"/>
      <c r="J68" s="456"/>
      <c r="K68" s="226"/>
      <c r="X68" s="693">
        <v>0</v>
      </c>
    </row>
    <row r="69" spans="1:24" s="1562" customFormat="1" ht="22.5" hidden="1" customHeight="1">
      <c r="A69" s="2708"/>
      <c r="B69" s="448"/>
      <c r="D69" s="680" t="s">
        <v>390</v>
      </c>
      <c r="E69" s="884" t="s">
        <v>978</v>
      </c>
      <c r="F69" s="658" t="s">
        <v>637</v>
      </c>
      <c r="G69" s="679"/>
      <c r="H69" s="456"/>
      <c r="I69" s="679"/>
      <c r="J69" s="456"/>
      <c r="K69" s="226"/>
      <c r="X69" s="693">
        <v>0</v>
      </c>
    </row>
    <row r="70" spans="1:24" s="1562" customFormat="1" ht="22.5" hidden="1" customHeight="1">
      <c r="A70" s="2708"/>
      <c r="B70" s="448"/>
      <c r="D70" s="680" t="s">
        <v>807</v>
      </c>
      <c r="E70" s="884" t="s">
        <v>979</v>
      </c>
      <c r="F70" s="658" t="s">
        <v>637</v>
      </c>
      <c r="G70" s="679"/>
      <c r="H70" s="456"/>
      <c r="I70" s="679"/>
      <c r="J70" s="456"/>
      <c r="K70" s="226"/>
      <c r="X70" s="693">
        <v>0</v>
      </c>
    </row>
    <row r="71" spans="1:24" s="1562" customFormat="1" ht="22.5" hidden="1" customHeight="1">
      <c r="A71" s="2708"/>
      <c r="B71" s="448"/>
      <c r="D71" s="602" t="s">
        <v>90</v>
      </c>
      <c r="E71" s="603" t="s">
        <v>980</v>
      </c>
      <c r="F71" s="597" t="s">
        <v>940</v>
      </c>
      <c r="G71" s="494"/>
      <c r="H71" s="960"/>
      <c r="I71" s="494"/>
      <c r="J71" s="960"/>
      <c r="K71" s="239"/>
      <c r="X71" s="693">
        <v>0</v>
      </c>
    </row>
    <row r="72" spans="1:24" s="1562" customFormat="1" ht="56.25" hidden="1" customHeight="1">
      <c r="A72" s="2708"/>
      <c r="B72" s="448"/>
      <c r="D72" s="602" t="s">
        <v>91</v>
      </c>
      <c r="E72" s="603" t="s">
        <v>981</v>
      </c>
      <c r="F72" s="658" t="s">
        <v>637</v>
      </c>
      <c r="G72" s="679"/>
      <c r="H72" s="953"/>
      <c r="I72" s="679"/>
      <c r="J72" s="953"/>
      <c r="K72" s="239"/>
      <c r="X72" s="693">
        <v>0</v>
      </c>
    </row>
    <row r="73" spans="1:24" s="1562" customFormat="1" ht="33.75" hidden="1" customHeight="1">
      <c r="A73" s="2708"/>
      <c r="B73" s="448"/>
      <c r="D73" s="602" t="s">
        <v>127</v>
      </c>
      <c r="E73" s="603" t="s">
        <v>982</v>
      </c>
      <c r="F73" s="663" t="s">
        <v>898</v>
      </c>
      <c r="G73" s="605"/>
      <c r="H73" s="953"/>
      <c r="I73" s="605"/>
      <c r="J73" s="953"/>
      <c r="K73" s="226"/>
      <c r="X73" s="693">
        <v>0</v>
      </c>
    </row>
    <row r="74" spans="1:24" s="1562" customFormat="1" ht="22.5" hidden="1" customHeight="1">
      <c r="A74" s="2708"/>
      <c r="B74" s="448" t="s">
        <v>667</v>
      </c>
      <c r="D74" s="602" t="s">
        <v>92</v>
      </c>
      <c r="E74" s="603" t="s">
        <v>983</v>
      </c>
      <c r="F74" s="663" t="s">
        <v>386</v>
      </c>
      <c r="G74" s="319"/>
      <c r="H74" s="953"/>
      <c r="I74" s="319"/>
      <c r="J74" s="953"/>
      <c r="K74" s="226" t="s">
        <v>710</v>
      </c>
      <c r="X74" s="693">
        <v>0</v>
      </c>
    </row>
    <row r="75" spans="1:24" s="1562" customFormat="1" ht="45" hidden="1" customHeight="1">
      <c r="A75" s="2708"/>
      <c r="B75" s="448" t="s">
        <v>667</v>
      </c>
      <c r="D75" s="602" t="s">
        <v>731</v>
      </c>
      <c r="E75" s="604" t="s">
        <v>984</v>
      </c>
      <c r="F75" s="658" t="s">
        <v>386</v>
      </c>
      <c r="G75" s="319"/>
      <c r="H75" s="953"/>
      <c r="I75" s="319"/>
      <c r="J75" s="953"/>
      <c r="K75" s="226" t="s">
        <v>710</v>
      </c>
      <c r="X75" s="693">
        <v>0</v>
      </c>
    </row>
    <row r="76" spans="1:24" s="1562" customFormat="1" ht="11.45" customHeight="1">
      <c r="A76" s="963"/>
      <c r="B76" s="455"/>
      <c r="D76" s="964"/>
      <c r="E76" s="965"/>
      <c r="X76" s="446">
        <v>11</v>
      </c>
    </row>
    <row r="77" spans="1:24" s="1562" customFormat="1" ht="11.25" hidden="1" customHeight="1">
      <c r="A77" s="2708" t="s">
        <v>985</v>
      </c>
      <c r="B77" s="448"/>
      <c r="D77" s="602">
        <v>1</v>
      </c>
      <c r="E77" s="603" t="s">
        <v>986</v>
      </c>
      <c r="F77" s="658" t="s">
        <v>888</v>
      </c>
      <c r="G77" s="661"/>
      <c r="H77" s="953"/>
      <c r="I77" s="661"/>
      <c r="J77" s="953"/>
      <c r="K77" s="226" t="s">
        <v>987</v>
      </c>
      <c r="X77" s="693">
        <v>0</v>
      </c>
    </row>
    <row r="78" spans="1:24" s="1562" customFormat="1" ht="11.25" hidden="1" customHeight="1">
      <c r="A78" s="2708"/>
      <c r="B78" s="448"/>
      <c r="D78" s="602" t="s">
        <v>102</v>
      </c>
      <c r="E78" s="603" t="s">
        <v>988</v>
      </c>
      <c r="F78" s="658" t="s">
        <v>888</v>
      </c>
      <c r="G78" s="661"/>
      <c r="H78" s="953"/>
      <c r="I78" s="661"/>
      <c r="J78" s="953"/>
      <c r="K78" s="226" t="s">
        <v>989</v>
      </c>
      <c r="X78" s="693">
        <v>0</v>
      </c>
    </row>
    <row r="79" spans="1:24" s="1562" customFormat="1" ht="22.5" hidden="1" customHeight="1">
      <c r="A79" s="2708"/>
      <c r="B79" s="448"/>
      <c r="D79" s="602" t="s">
        <v>90</v>
      </c>
      <c r="E79" s="659" t="s">
        <v>990</v>
      </c>
      <c r="F79" s="597" t="s">
        <v>937</v>
      </c>
      <c r="G79" s="661"/>
      <c r="H79" s="953"/>
      <c r="I79" s="661"/>
      <c r="J79" s="953"/>
      <c r="K79" s="226" t="s">
        <v>991</v>
      </c>
      <c r="X79" s="693">
        <v>0</v>
      </c>
    </row>
    <row r="80" spans="1:24" s="1562" customFormat="1" ht="11.25" hidden="1" customHeight="1">
      <c r="A80" s="2708"/>
      <c r="B80" s="448"/>
      <c r="D80" s="602" t="s">
        <v>404</v>
      </c>
      <c r="E80" s="660" t="s">
        <v>992</v>
      </c>
      <c r="F80" s="597" t="s">
        <v>937</v>
      </c>
      <c r="G80" s="661"/>
      <c r="H80" s="953"/>
      <c r="I80" s="661"/>
      <c r="J80" s="953"/>
      <c r="K80" s="226"/>
      <c r="X80" s="693">
        <v>0</v>
      </c>
    </row>
    <row r="81" spans="1:24" s="1562" customFormat="1" ht="11.25" hidden="1" customHeight="1">
      <c r="A81" s="2708"/>
      <c r="B81" s="448"/>
      <c r="D81" s="602" t="s">
        <v>412</v>
      </c>
      <c r="E81" s="660" t="s">
        <v>993</v>
      </c>
      <c r="F81" s="597" t="s">
        <v>937</v>
      </c>
      <c r="G81" s="661"/>
      <c r="H81" s="953"/>
      <c r="I81" s="661"/>
      <c r="J81" s="953"/>
      <c r="K81" s="226"/>
      <c r="X81" s="693">
        <v>0</v>
      </c>
    </row>
    <row r="82" spans="1:24" s="1562" customFormat="1" ht="11.25" hidden="1" customHeight="1">
      <c r="A82" s="2708"/>
      <c r="B82" s="448"/>
      <c r="D82" s="602" t="s">
        <v>414</v>
      </c>
      <c r="E82" s="660" t="s">
        <v>994</v>
      </c>
      <c r="F82" s="597" t="s">
        <v>937</v>
      </c>
      <c r="G82" s="661"/>
      <c r="H82" s="953"/>
      <c r="I82" s="661"/>
      <c r="J82" s="953"/>
      <c r="K82" s="226"/>
      <c r="X82" s="693">
        <v>0</v>
      </c>
    </row>
    <row r="83" spans="1:24" s="1562" customFormat="1" ht="11.25" hidden="1" customHeight="1">
      <c r="A83" s="2708"/>
      <c r="B83" s="448"/>
      <c r="D83" s="602" t="s">
        <v>416</v>
      </c>
      <c r="E83" s="660" t="s">
        <v>995</v>
      </c>
      <c r="F83" s="597" t="s">
        <v>937</v>
      </c>
      <c r="G83" s="661"/>
      <c r="H83" s="953"/>
      <c r="I83" s="661"/>
      <c r="J83" s="953"/>
      <c r="K83" s="226"/>
      <c r="X83" s="693">
        <v>0</v>
      </c>
    </row>
    <row r="84" spans="1:24" s="1562" customFormat="1" ht="11.25" hidden="1" customHeight="1">
      <c r="A84" s="2708"/>
      <c r="B84" s="448"/>
      <c r="D84" s="602" t="s">
        <v>996</v>
      </c>
      <c r="E84" s="660" t="s">
        <v>997</v>
      </c>
      <c r="F84" s="597" t="s">
        <v>937</v>
      </c>
      <c r="G84" s="661"/>
      <c r="H84" s="953"/>
      <c r="I84" s="661"/>
      <c r="J84" s="953"/>
      <c r="K84" s="226"/>
      <c r="X84" s="693">
        <v>0</v>
      </c>
    </row>
    <row r="85" spans="1:24" s="1562" customFormat="1" ht="11.25" hidden="1" customHeight="1">
      <c r="A85" s="2708"/>
      <c r="B85" s="448"/>
      <c r="D85" s="602" t="s">
        <v>998</v>
      </c>
      <c r="E85" s="660" t="s">
        <v>999</v>
      </c>
      <c r="F85" s="597" t="s">
        <v>937</v>
      </c>
      <c r="G85" s="661"/>
      <c r="H85" s="953"/>
      <c r="I85" s="661"/>
      <c r="J85" s="953"/>
      <c r="K85" s="226"/>
      <c r="X85" s="693">
        <v>0</v>
      </c>
    </row>
    <row r="86" spans="1:24" s="1562" customFormat="1" ht="11.25" hidden="1" customHeight="1">
      <c r="A86" s="2708"/>
      <c r="B86" s="448"/>
      <c r="D86" s="602" t="s">
        <v>1000</v>
      </c>
      <c r="E86" s="660" t="s">
        <v>1001</v>
      </c>
      <c r="F86" s="597" t="s">
        <v>937</v>
      </c>
      <c r="G86" s="661"/>
      <c r="H86" s="953"/>
      <c r="I86" s="661"/>
      <c r="J86" s="953"/>
      <c r="K86" s="226"/>
      <c r="X86" s="693">
        <v>0</v>
      </c>
    </row>
    <row r="87" spans="1:24" s="1562" customFormat="1" ht="45" hidden="1" customHeight="1">
      <c r="A87" s="2708"/>
      <c r="B87" s="448"/>
      <c r="D87" s="602" t="s">
        <v>91</v>
      </c>
      <c r="E87" s="603" t="s">
        <v>1002</v>
      </c>
      <c r="F87" s="597" t="s">
        <v>937</v>
      </c>
      <c r="G87" s="661"/>
      <c r="H87" s="953"/>
      <c r="I87" s="661"/>
      <c r="J87" s="953"/>
      <c r="K87" s="226" t="s">
        <v>1003</v>
      </c>
      <c r="X87" s="693">
        <v>0</v>
      </c>
    </row>
    <row r="88" spans="1:24" s="1562" customFormat="1" ht="11.25" hidden="1" customHeight="1">
      <c r="A88" s="2708"/>
      <c r="B88" s="448"/>
      <c r="D88" s="602" t="s">
        <v>832</v>
      </c>
      <c r="E88" s="660" t="s">
        <v>992</v>
      </c>
      <c r="F88" s="597" t="s">
        <v>937</v>
      </c>
      <c r="G88" s="661"/>
      <c r="H88" s="953"/>
      <c r="I88" s="661"/>
      <c r="J88" s="953"/>
      <c r="K88" s="226"/>
      <c r="X88" s="693">
        <v>0</v>
      </c>
    </row>
    <row r="89" spans="1:24" s="1562" customFormat="1" ht="11.25" hidden="1" customHeight="1">
      <c r="A89" s="2708"/>
      <c r="B89" s="448"/>
      <c r="D89" s="602" t="s">
        <v>874</v>
      </c>
      <c r="E89" s="660" t="s">
        <v>993</v>
      </c>
      <c r="F89" s="597" t="s">
        <v>937</v>
      </c>
      <c r="G89" s="661"/>
      <c r="H89" s="953"/>
      <c r="I89" s="661"/>
      <c r="J89" s="953"/>
      <c r="K89" s="226"/>
      <c r="X89" s="693">
        <v>0</v>
      </c>
    </row>
    <row r="90" spans="1:24" s="1562" customFormat="1" ht="11.25" hidden="1" customHeight="1">
      <c r="A90" s="2708"/>
      <c r="B90" s="448"/>
      <c r="D90" s="602" t="s">
        <v>877</v>
      </c>
      <c r="E90" s="660" t="s">
        <v>994</v>
      </c>
      <c r="F90" s="597" t="s">
        <v>937</v>
      </c>
      <c r="G90" s="661"/>
      <c r="H90" s="953"/>
      <c r="I90" s="661"/>
      <c r="J90" s="953"/>
      <c r="K90" s="226"/>
      <c r="X90" s="693">
        <v>0</v>
      </c>
    </row>
    <row r="91" spans="1:24" s="1562" customFormat="1" ht="11.25" hidden="1" customHeight="1">
      <c r="A91" s="2708"/>
      <c r="B91" s="448"/>
      <c r="D91" s="602" t="s">
        <v>955</v>
      </c>
      <c r="E91" s="660" t="s">
        <v>995</v>
      </c>
      <c r="F91" s="597" t="s">
        <v>937</v>
      </c>
      <c r="G91" s="661"/>
      <c r="H91" s="953"/>
      <c r="I91" s="661"/>
      <c r="J91" s="953"/>
      <c r="K91" s="226"/>
      <c r="X91" s="693">
        <v>0</v>
      </c>
    </row>
    <row r="92" spans="1:24" s="1562" customFormat="1" ht="11.25" hidden="1" customHeight="1">
      <c r="A92" s="2708"/>
      <c r="B92" s="448"/>
      <c r="D92" s="602" t="s">
        <v>957</v>
      </c>
      <c r="E92" s="660" t="s">
        <v>997</v>
      </c>
      <c r="F92" s="597" t="s">
        <v>937</v>
      </c>
      <c r="G92" s="661"/>
      <c r="H92" s="953"/>
      <c r="I92" s="661"/>
      <c r="J92" s="953"/>
      <c r="K92" s="226"/>
      <c r="X92" s="693">
        <v>0</v>
      </c>
    </row>
    <row r="93" spans="1:24" s="1562" customFormat="1" ht="11.25" hidden="1" customHeight="1">
      <c r="A93" s="2708"/>
      <c r="B93" s="448"/>
      <c r="D93" s="602" t="s">
        <v>1004</v>
      </c>
      <c r="E93" s="660" t="s">
        <v>999</v>
      </c>
      <c r="F93" s="597" t="s">
        <v>937</v>
      </c>
      <c r="G93" s="661"/>
      <c r="H93" s="953"/>
      <c r="I93" s="661"/>
      <c r="J93" s="953"/>
      <c r="K93" s="226"/>
      <c r="X93" s="693">
        <v>0</v>
      </c>
    </row>
    <row r="94" spans="1:24" s="1562" customFormat="1" ht="11.25" hidden="1" customHeight="1">
      <c r="A94" s="2708"/>
      <c r="B94" s="448"/>
      <c r="D94" s="602" t="s">
        <v>1005</v>
      </c>
      <c r="E94" s="660" t="s">
        <v>1001</v>
      </c>
      <c r="F94" s="597" t="s">
        <v>937</v>
      </c>
      <c r="G94" s="661"/>
      <c r="H94" s="953"/>
      <c r="I94" s="661"/>
      <c r="J94" s="953"/>
      <c r="K94" s="226"/>
      <c r="X94" s="693">
        <v>0</v>
      </c>
    </row>
    <row r="95" spans="1:24" s="1562" customFormat="1" ht="24.75" hidden="1" customHeight="1">
      <c r="A95" s="2708"/>
      <c r="B95" s="448"/>
      <c r="D95" s="602" t="s">
        <v>127</v>
      </c>
      <c r="E95" s="603" t="s">
        <v>1006</v>
      </c>
      <c r="F95" s="662" t="s">
        <v>637</v>
      </c>
      <c r="G95" s="664"/>
      <c r="H95" s="953"/>
      <c r="I95" s="664"/>
      <c r="J95" s="953"/>
      <c r="K95" s="226" t="s">
        <v>1007</v>
      </c>
      <c r="X95" s="693">
        <v>0</v>
      </c>
    </row>
    <row r="96" spans="1:24" s="1562" customFormat="1" ht="33.75" hidden="1" customHeight="1">
      <c r="A96" s="2708"/>
      <c r="B96" s="448"/>
      <c r="D96" s="602" t="s">
        <v>92</v>
      </c>
      <c r="E96" s="603" t="s">
        <v>1008</v>
      </c>
      <c r="F96" s="663" t="s">
        <v>898</v>
      </c>
      <c r="G96" s="665"/>
      <c r="H96" s="953"/>
      <c r="I96" s="665"/>
      <c r="J96" s="953"/>
      <c r="K96" s="226"/>
      <c r="X96" s="693">
        <v>0</v>
      </c>
    </row>
    <row r="97" spans="1:24" s="1562" customFormat="1" ht="22.5" hidden="1" customHeight="1">
      <c r="A97" s="2708"/>
      <c r="B97" s="448" t="s">
        <v>667</v>
      </c>
      <c r="D97" s="602" t="s">
        <v>93</v>
      </c>
      <c r="E97" s="603" t="s">
        <v>1009</v>
      </c>
      <c r="F97" s="663" t="s">
        <v>386</v>
      </c>
      <c r="G97" s="322"/>
      <c r="H97" s="953"/>
      <c r="I97" s="322"/>
      <c r="J97" s="953"/>
      <c r="K97" s="226" t="s">
        <v>710</v>
      </c>
      <c r="X97" s="693">
        <v>0</v>
      </c>
    </row>
    <row r="98" spans="1:24" s="1562" customFormat="1" ht="45" hidden="1" customHeight="1">
      <c r="A98" s="2708"/>
      <c r="B98" s="448" t="s">
        <v>667</v>
      </c>
      <c r="D98" s="602" t="s">
        <v>1010</v>
      </c>
      <c r="E98" s="604" t="s">
        <v>1011</v>
      </c>
      <c r="F98" s="658" t="s">
        <v>386</v>
      </c>
      <c r="G98" s="322"/>
      <c r="H98" s="953"/>
      <c r="I98" s="322"/>
      <c r="J98" s="953"/>
      <c r="K98" s="226" t="s">
        <v>710</v>
      </c>
      <c r="X98" s="693">
        <v>0</v>
      </c>
    </row>
    <row r="99" spans="1:24" s="1562" customFormat="1" ht="95.25" hidden="1" customHeight="1">
      <c r="A99" s="2708"/>
      <c r="B99" s="448" t="s">
        <v>667</v>
      </c>
      <c r="D99" s="602" t="s">
        <v>178</v>
      </c>
      <c r="E99" s="603" t="s">
        <v>1012</v>
      </c>
      <c r="F99" s="658" t="s">
        <v>386</v>
      </c>
      <c r="G99" s="322"/>
      <c r="H99" s="953"/>
      <c r="I99" s="322"/>
      <c r="J99" s="953"/>
      <c r="K99" s="226" t="s">
        <v>710</v>
      </c>
      <c r="X99" s="693">
        <v>0</v>
      </c>
    </row>
    <row r="100" spans="1:24" s="1562" customFormat="1" ht="22.5" hidden="1" customHeight="1">
      <c r="A100" s="2708"/>
      <c r="B100" s="448" t="s">
        <v>667</v>
      </c>
      <c r="D100" s="602" t="s">
        <v>214</v>
      </c>
      <c r="E100" s="603" t="s">
        <v>1013</v>
      </c>
      <c r="F100" s="658" t="s">
        <v>386</v>
      </c>
      <c r="G100" s="322"/>
      <c r="H100" s="953"/>
      <c r="I100" s="322"/>
      <c r="J100" s="953"/>
      <c r="K100" s="226" t="s">
        <v>710</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454" t="str">
        <f>Титульный!E5</f>
        <v>Показатели, подлежащие раскрытию в сфере холодного водоснабжения (цены и тарифы)</v>
      </c>
      <c r="E4" s="2455"/>
      <c r="F4" s="2455"/>
      <c r="G4" s="2455"/>
      <c r="H4" s="2455"/>
      <c r="I4" s="2456"/>
      <c r="J4" s="521"/>
      <c r="K4" s="521"/>
      <c r="L4" s="521"/>
      <c r="M4" s="521"/>
      <c r="AM4" s="520">
        <v>34</v>
      </c>
    </row>
    <row r="5" spans="1:39" s="526" customFormat="1" ht="14.65" customHeight="1">
      <c r="A5" s="522"/>
      <c r="B5" s="522"/>
      <c r="C5" s="522"/>
      <c r="D5" s="245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458"/>
      <c r="F5" s="2458"/>
      <c r="G5" s="2458"/>
      <c r="H5" s="2458"/>
      <c r="I5" s="245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445"/>
      <c r="B6" s="2445"/>
      <c r="C6" s="2445"/>
      <c r="D6" s="2445"/>
      <c r="E6" s="2445"/>
      <c r="F6" s="244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4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65"/>
      <c r="G7" s="2465"/>
      <c r="H7" s="2465"/>
      <c r="I7" s="2465"/>
      <c r="J7" s="2465"/>
      <c r="K7" s="2465"/>
      <c r="L7" s="2465"/>
      <c r="M7" s="246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460"/>
      <c r="B9" s="260"/>
      <c r="C9" s="260"/>
      <c r="D9" s="2461" t="s">
        <v>173</v>
      </c>
      <c r="E9" s="2461"/>
      <c r="F9" s="2462" t="s">
        <v>174</v>
      </c>
      <c r="G9" s="2463"/>
      <c r="H9" s="2463"/>
      <c r="I9" s="2463"/>
      <c r="J9" s="2466" t="s">
        <v>175</v>
      </c>
      <c r="K9" s="2466"/>
      <c r="L9" s="2466"/>
      <c r="M9" s="2466"/>
      <c r="AM9" s="520">
        <v>18</v>
      </c>
    </row>
    <row r="10" spans="1:39" ht="24" customHeight="1">
      <c r="A10" s="2460"/>
      <c r="B10" s="529"/>
      <c r="C10" s="462"/>
      <c r="D10" s="460" t="s">
        <v>88</v>
      </c>
      <c r="E10" s="460" t="s">
        <v>89</v>
      </c>
      <c r="F10" s="460" t="s">
        <v>176</v>
      </c>
      <c r="G10" s="2467" t="s">
        <v>88</v>
      </c>
      <c r="H10" s="2468"/>
      <c r="I10" s="460" t="s">
        <v>89</v>
      </c>
      <c r="J10" s="460" t="s">
        <v>176</v>
      </c>
      <c r="K10" s="2467" t="s">
        <v>88</v>
      </c>
      <c r="L10" s="2468"/>
      <c r="M10" s="460" t="s">
        <v>89</v>
      </c>
      <c r="N10" s="1554"/>
      <c r="AM10" s="520">
        <v>23</v>
      </c>
    </row>
    <row r="11" spans="1:39" s="1779" customFormat="1" ht="11.25" hidden="1" customHeight="1">
      <c r="A11" s="530"/>
      <c r="B11" s="530"/>
      <c r="C11" s="530"/>
      <c r="D11" s="531" t="s">
        <v>177</v>
      </c>
      <c r="E11" s="531" t="s">
        <v>102</v>
      </c>
      <c r="F11" s="531" t="s">
        <v>90</v>
      </c>
      <c r="G11" s="2450" t="s">
        <v>91</v>
      </c>
      <c r="H11" s="2451"/>
      <c r="I11" s="531" t="s">
        <v>127</v>
      </c>
      <c r="J11" s="531" t="s">
        <v>92</v>
      </c>
      <c r="K11" s="2452" t="s">
        <v>93</v>
      </c>
      <c r="L11" s="2453"/>
      <c r="M11" s="531" t="s">
        <v>178</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179</v>
      </c>
      <c r="P12" s="1340" t="s">
        <v>180</v>
      </c>
      <c r="Q12" s="1340" t="s">
        <v>181</v>
      </c>
      <c r="R12" s="1340" t="s">
        <v>182</v>
      </c>
      <c r="AM12" s="520">
        <v>1</v>
      </c>
    </row>
    <row r="13" spans="1:39" s="1779" customFormat="1" ht="15.75" customHeight="1">
      <c r="A13" s="230"/>
      <c r="B13" s="230"/>
      <c r="C13" s="463"/>
      <c r="D13" s="2472" t="s">
        <v>177</v>
      </c>
      <c r="E13" s="2473"/>
      <c r="F13" s="2476" t="s">
        <v>66</v>
      </c>
      <c r="G13" s="2477"/>
      <c r="H13" s="2478">
        <v>1</v>
      </c>
      <c r="I13" s="2469" t="str">
        <f>IF(U13="","",INDEX(TERRITORY_MR_LIST,MATCH(U13,TERRITORY_LIST_ID,0)))</f>
        <v/>
      </c>
      <c r="J13" s="2471" t="s">
        <v>19</v>
      </c>
      <c r="K13" s="539"/>
      <c r="L13" s="464" t="s">
        <v>177</v>
      </c>
      <c r="M13" s="540" t="s">
        <v>28</v>
      </c>
      <c r="N13" s="743"/>
      <c r="O13" s="1343" t="s">
        <v>183</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184</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472"/>
      <c r="E14" s="2474"/>
      <c r="F14" s="2471"/>
      <c r="G14" s="2477"/>
      <c r="H14" s="2478"/>
      <c r="I14" s="2470"/>
      <c r="J14" s="2471"/>
      <c r="K14" s="358"/>
      <c r="L14" s="114"/>
      <c r="M14" s="544" t="s">
        <v>185</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472"/>
      <c r="E15" s="2475"/>
      <c r="F15" s="2471"/>
      <c r="G15" s="990"/>
      <c r="H15" s="991"/>
      <c r="I15" s="517" t="s">
        <v>186</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187</v>
      </c>
      <c r="F16" s="114"/>
      <c r="G16" s="114"/>
      <c r="H16" s="114"/>
      <c r="I16" s="114"/>
      <c r="J16" s="114"/>
      <c r="K16" s="114" t="s">
        <v>28</v>
      </c>
      <c r="L16" s="114"/>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709"/>
      <c r="C3" s="2710" t="s">
        <v>103</v>
      </c>
      <c r="D3" s="626" t="str">
        <f>B3&amp;".1"</f>
        <v>.1</v>
      </c>
      <c r="E3" s="627" t="s">
        <v>1014</v>
      </c>
      <c r="F3" s="628" t="s">
        <v>386</v>
      </c>
      <c r="G3" s="623"/>
      <c r="H3" s="338"/>
      <c r="I3" s="623"/>
      <c r="J3" s="338"/>
      <c r="K3" s="226" t="s">
        <v>1015</v>
      </c>
      <c r="V3" s="442">
        <v>0</v>
      </c>
    </row>
    <row r="4" spans="1:22" ht="15" hidden="1" customHeight="1">
      <c r="A4" s="442"/>
      <c r="B4" s="2709"/>
      <c r="C4" s="2710"/>
      <c r="D4" s="626" t="str">
        <f>B3&amp;".2"</f>
        <v>.2</v>
      </c>
      <c r="E4" s="627" t="s">
        <v>1016</v>
      </c>
      <c r="F4" s="628" t="s">
        <v>386</v>
      </c>
      <c r="G4" s="1665" t="s">
        <v>28</v>
      </c>
      <c r="H4" s="338"/>
      <c r="I4" s="1665" t="s">
        <v>28</v>
      </c>
      <c r="J4" s="338"/>
      <c r="K4" s="226" t="s">
        <v>1017</v>
      </c>
      <c r="V4" s="442">
        <v>0</v>
      </c>
    </row>
    <row r="5" spans="1:22" s="1293" customFormat="1" ht="15" hidden="1" customHeight="1">
      <c r="C5" s="609"/>
      <c r="U5" s="357"/>
      <c r="V5" s="354">
        <v>0</v>
      </c>
    </row>
    <row r="6" spans="1:22" ht="22.5" hidden="1" customHeight="1">
      <c r="A6" s="442"/>
      <c r="B6" s="2709"/>
      <c r="C6" s="2710" t="s">
        <v>103</v>
      </c>
      <c r="D6" s="626" t="str">
        <f>B6&amp;".1"</f>
        <v>.1</v>
      </c>
      <c r="E6" s="627" t="s">
        <v>1018</v>
      </c>
      <c r="F6" s="628" t="s">
        <v>386</v>
      </c>
      <c r="G6" s="623"/>
      <c r="H6" s="338"/>
      <c r="I6" s="623"/>
      <c r="J6" s="338"/>
      <c r="K6" s="226" t="s">
        <v>1019</v>
      </c>
      <c r="V6" s="442">
        <v>0</v>
      </c>
    </row>
    <row r="7" spans="1:22" ht="15" hidden="1" customHeight="1">
      <c r="A7" s="442"/>
      <c r="B7" s="2709"/>
      <c r="C7" s="2710"/>
      <c r="D7" s="626" t="str">
        <f>B6&amp;".2"</f>
        <v>.2</v>
      </c>
      <c r="E7" s="627" t="s">
        <v>1016</v>
      </c>
      <c r="F7" s="628" t="s">
        <v>386</v>
      </c>
      <c r="G7" s="1665" t="s">
        <v>28</v>
      </c>
      <c r="H7" s="338"/>
      <c r="I7" s="1665" t="s">
        <v>28</v>
      </c>
      <c r="J7" s="338"/>
      <c r="K7" s="226" t="s">
        <v>1017</v>
      </c>
      <c r="V7" s="442">
        <v>0</v>
      </c>
    </row>
    <row r="8" spans="1:22" s="1293" customFormat="1" ht="15" hidden="1" customHeight="1">
      <c r="C8" s="609"/>
      <c r="U8" s="357"/>
      <c r="V8" s="354">
        <v>0</v>
      </c>
    </row>
    <row r="9" spans="1:22" ht="22.5" hidden="1" customHeight="1">
      <c r="A9" s="442"/>
      <c r="B9" s="2709"/>
      <c r="C9" s="2710" t="s">
        <v>103</v>
      </c>
      <c r="D9" s="626" t="str">
        <f>B9&amp;".1"</f>
        <v>.1</v>
      </c>
      <c r="E9" s="627" t="s">
        <v>1020</v>
      </c>
      <c r="F9" s="628" t="s">
        <v>386</v>
      </c>
      <c r="G9" s="634" t="s">
        <v>28</v>
      </c>
      <c r="H9" s="338" t="s">
        <v>28</v>
      </c>
      <c r="I9" s="634" t="s">
        <v>28</v>
      </c>
      <c r="J9" s="338" t="s">
        <v>28</v>
      </c>
      <c r="K9" s="226"/>
      <c r="V9" s="442">
        <v>0</v>
      </c>
    </row>
    <row r="10" spans="1:22" ht="15" hidden="1" customHeight="1">
      <c r="A10" s="442"/>
      <c r="B10" s="2709"/>
      <c r="C10" s="2710"/>
      <c r="D10" s="626" t="str">
        <f>B9&amp;".2"</f>
        <v>.2</v>
      </c>
      <c r="E10" s="627" t="s">
        <v>1021</v>
      </c>
      <c r="F10" s="628" t="s">
        <v>386</v>
      </c>
      <c r="G10" s="1659" t="s">
        <v>28</v>
      </c>
      <c r="H10" s="338" t="s">
        <v>28</v>
      </c>
      <c r="I10" s="1659" t="s">
        <v>28</v>
      </c>
      <c r="J10" s="338" t="s">
        <v>28</v>
      </c>
      <c r="K10" s="226" t="s">
        <v>1022</v>
      </c>
      <c r="V10" s="442">
        <v>0</v>
      </c>
    </row>
    <row r="11" spans="1:22" ht="15" hidden="1" customHeight="1">
      <c r="A11" s="442"/>
      <c r="B11" s="2709"/>
      <c r="C11" s="2710"/>
      <c r="D11" s="626" t="str">
        <f>B9&amp;".3"</f>
        <v>.3</v>
      </c>
      <c r="E11" s="627" t="s">
        <v>1023</v>
      </c>
      <c r="F11" s="628" t="s">
        <v>386</v>
      </c>
      <c r="G11" s="1659" t="s">
        <v>28</v>
      </c>
      <c r="H11" s="338" t="s">
        <v>28</v>
      </c>
      <c r="I11" s="1659" t="s">
        <v>28</v>
      </c>
      <c r="J11" s="338" t="s">
        <v>28</v>
      </c>
      <c r="K11" s="226" t="s">
        <v>1024</v>
      </c>
      <c r="V11" s="442">
        <v>0</v>
      </c>
    </row>
    <row r="12" spans="1:22" s="1293" customFormat="1" ht="15" hidden="1" customHeight="1">
      <c r="C12" s="609"/>
      <c r="U12" s="357"/>
      <c r="V12" s="354">
        <v>0</v>
      </c>
    </row>
    <row r="13" spans="1:22" ht="33.75" hidden="1" customHeight="1">
      <c r="A13" s="442"/>
      <c r="B13" s="2709"/>
      <c r="C13" s="2710" t="s">
        <v>103</v>
      </c>
      <c r="D13" s="626" t="str">
        <f>B13&amp;".1"</f>
        <v>.1</v>
      </c>
      <c r="E13" s="627" t="s">
        <v>1025</v>
      </c>
      <c r="F13" s="628" t="s">
        <v>386</v>
      </c>
      <c r="G13" s="634" t="s">
        <v>28</v>
      </c>
      <c r="H13" s="338" t="s">
        <v>28</v>
      </c>
      <c r="I13" s="634" t="s">
        <v>28</v>
      </c>
      <c r="J13" s="338" t="s">
        <v>28</v>
      </c>
      <c r="K13" s="226" t="s">
        <v>1026</v>
      </c>
      <c r="V13" s="442">
        <v>0</v>
      </c>
    </row>
    <row r="14" spans="1:22" ht="15" hidden="1" customHeight="1">
      <c r="B14" s="2709"/>
      <c r="C14" s="2710"/>
      <c r="D14" s="626" t="str">
        <f>B13&amp;".2"</f>
        <v>.2</v>
      </c>
      <c r="E14" s="627" t="s">
        <v>1027</v>
      </c>
      <c r="F14" s="628" t="s">
        <v>386</v>
      </c>
      <c r="G14" s="1659" t="s">
        <v>28</v>
      </c>
      <c r="H14" s="338" t="s">
        <v>28</v>
      </c>
      <c r="I14" s="1659" t="s">
        <v>28</v>
      </c>
      <c r="J14" s="338" t="s">
        <v>28</v>
      </c>
      <c r="K14" s="226" t="s">
        <v>1028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58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82"/>
      <c r="F22" s="2582"/>
      <c r="G22" s="2582"/>
      <c r="H22" s="2582"/>
      <c r="I22" s="2582"/>
      <c r="J22" s="613"/>
      <c r="K22" s="474"/>
      <c r="V22" s="442">
        <v>22</v>
      </c>
    </row>
    <row r="23" spans="1:22" ht="15.75" customHeight="1">
      <c r="C23" s="113"/>
      <c r="D23"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555"/>
      <c r="F23" s="2555"/>
      <c r="G23" s="2555"/>
      <c r="H23" s="2555"/>
      <c r="I23" s="255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183</v>
      </c>
      <c r="J25" s="689"/>
      <c r="K25" s="354"/>
      <c r="U25" s="612"/>
      <c r="V25" s="693">
        <v>1</v>
      </c>
    </row>
    <row r="26" spans="1:22" ht="15.75" customHeight="1">
      <c r="C26" s="113"/>
      <c r="D26" s="648"/>
      <c r="E26" s="2696" t="s">
        <v>173</v>
      </c>
      <c r="F26" s="2697"/>
      <c r="G26" s="2711" t="str">
        <f>IF(G25="","",INDEX(DIFFERENTIATION_UNMERGE_VD,MATCH(G25,DIFFERENTIATION_ID_DIFF,0)))</f>
        <v/>
      </c>
      <c r="H26" s="2712"/>
      <c r="I26" s="2711">
        <f>IF(I25="","",INDEX(DIFFERENTIATION_UNMERGE_VD,MATCH(I25,DIFFERENTIATION_ID_DIFF,0)))</f>
        <v>0</v>
      </c>
      <c r="J26" s="2712"/>
      <c r="K26" s="2535" t="s">
        <v>381</v>
      </c>
      <c r="V26" s="442">
        <v>15</v>
      </c>
    </row>
    <row r="27" spans="1:22" s="1562" customFormat="1" ht="15.75" customHeight="1">
      <c r="A27" s="694"/>
      <c r="C27" s="113"/>
      <c r="D27" s="648"/>
      <c r="E27" s="2696" t="s">
        <v>643</v>
      </c>
      <c r="F27" s="2697"/>
      <c r="G27" s="2711" t="str">
        <f>IF(G25="","",INDEX(DIFFERENTIATION_UNMERGE_AREA,MATCH(G25,DIFFERENTIATION_ID_DIFF,0)))</f>
        <v/>
      </c>
      <c r="H27" s="2712"/>
      <c r="I27" s="2711" t="str">
        <f>IF(I25="","",INDEX(DIFFERENTIATION_UNMERGE_AREA,MATCH(I25,DIFFERENTIATION_ID_DIFF,0)))</f>
        <v/>
      </c>
      <c r="J27" s="2712"/>
      <c r="K27" s="2539"/>
      <c r="U27" s="612"/>
      <c r="V27" s="693">
        <v>15</v>
      </c>
    </row>
    <row r="28" spans="1:22" s="1562" customFormat="1" ht="15.75" customHeight="1">
      <c r="A28" s="694"/>
      <c r="C28" s="113"/>
      <c r="D28" s="648"/>
      <c r="E28" s="2696" t="s">
        <v>644</v>
      </c>
      <c r="F28" s="2697"/>
      <c r="G28" s="2711" t="str">
        <f>IF(G25="","",INDEX(DIFFERENTIATION_UNMERGE_SYSTEM,MATCH(G25,DIFFERENTIATION_ID_DIFF,0)))</f>
        <v/>
      </c>
      <c r="H28" s="2712"/>
      <c r="I28" s="2711" t="str">
        <f>IF(I25="","",INDEX(DIFFERENTIATION_UNMERGE_SYSTEM,MATCH(I25,DIFFERENTIATION_ID_DIFF,0)))</f>
        <v>без дифференциации</v>
      </c>
      <c r="J28" s="2712"/>
      <c r="K28" s="2539"/>
      <c r="U28" s="612"/>
      <c r="V28" s="693">
        <v>15</v>
      </c>
    </row>
    <row r="29" spans="1:22" s="1562" customFormat="1" ht="15.75" customHeight="1">
      <c r="A29" s="694"/>
      <c r="C29" s="113"/>
      <c r="D29" s="2698" t="s">
        <v>380</v>
      </c>
      <c r="E29" s="2699"/>
      <c r="F29" s="2699"/>
      <c r="G29" s="817"/>
      <c r="H29" s="817"/>
      <c r="I29" s="817"/>
      <c r="J29" s="818"/>
      <c r="K29" s="2539"/>
      <c r="U29" s="612"/>
      <c r="V29" s="693">
        <v>15</v>
      </c>
    </row>
    <row r="30" spans="1:22" ht="35.65" customHeight="1">
      <c r="C30" s="113"/>
      <c r="D30" s="696" t="s">
        <v>88</v>
      </c>
      <c r="E30" s="695" t="s">
        <v>382</v>
      </c>
      <c r="F30" s="695" t="s">
        <v>645</v>
      </c>
      <c r="G30" s="739" t="s">
        <v>383</v>
      </c>
      <c r="H30" s="738" t="s">
        <v>470</v>
      </c>
      <c r="I30" s="621" t="s">
        <v>383</v>
      </c>
      <c r="J30" s="402" t="s">
        <v>470</v>
      </c>
      <c r="K30" s="2542"/>
      <c r="V30" s="442">
        <v>34</v>
      </c>
    </row>
    <row r="31" spans="1:22" ht="15" hidden="1" customHeight="1">
      <c r="C31" s="113"/>
      <c r="D31" s="530"/>
      <c r="E31" s="530"/>
      <c r="F31" s="530"/>
      <c r="G31" s="596"/>
      <c r="H31" s="596"/>
      <c r="I31" s="596"/>
      <c r="J31" s="596"/>
      <c r="K31" s="226"/>
      <c r="V31" s="442">
        <v>0</v>
      </c>
    </row>
    <row r="32" spans="1:22" ht="24" customHeight="1">
      <c r="A32" s="442"/>
      <c r="B32" s="442" t="s">
        <v>1029</v>
      </c>
      <c r="C32" s="463"/>
      <c r="D32" s="629">
        <v>1</v>
      </c>
      <c r="E32" s="630" t="s">
        <v>1030</v>
      </c>
      <c r="F32" s="628" t="s">
        <v>386</v>
      </c>
      <c r="G32" s="744" t="s">
        <v>386</v>
      </c>
      <c r="H32" s="744" t="s">
        <v>386</v>
      </c>
      <c r="I32" s="628" t="s">
        <v>386</v>
      </c>
      <c r="J32" s="628" t="s">
        <v>386</v>
      </c>
      <c r="K32" s="226"/>
      <c r="V32" s="442">
        <v>23</v>
      </c>
    </row>
    <row r="33" spans="1:22" ht="11.45" customHeight="1">
      <c r="A33" s="442"/>
      <c r="C33" s="442"/>
      <c r="D33" s="284"/>
      <c r="E33" s="517" t="s">
        <v>665</v>
      </c>
      <c r="F33" s="509"/>
      <c r="G33" s="509"/>
      <c r="H33" s="509"/>
      <c r="I33" s="509"/>
      <c r="J33" s="509"/>
      <c r="K33" s="510"/>
      <c r="U33" s="442"/>
      <c r="V33" s="442">
        <v>11</v>
      </c>
    </row>
    <row r="34" spans="1:22" ht="24" customHeight="1">
      <c r="A34" s="442"/>
      <c r="B34" s="518" t="s">
        <v>715</v>
      </c>
      <c r="C34" s="463"/>
      <c r="D34" s="629">
        <v>2</v>
      </c>
      <c r="E34" s="630" t="s">
        <v>1031</v>
      </c>
      <c r="F34" s="751" t="s">
        <v>386</v>
      </c>
      <c r="G34" s="751" t="s">
        <v>386</v>
      </c>
      <c r="H34" s="751" t="s">
        <v>386</v>
      </c>
      <c r="I34" s="628"/>
      <c r="J34" s="628"/>
      <c r="K34" s="226"/>
      <c r="V34" s="442">
        <v>23</v>
      </c>
    </row>
    <row r="35" spans="1:22" ht="11.45" customHeight="1">
      <c r="A35" s="442"/>
      <c r="C35" s="442"/>
      <c r="D35" s="284"/>
      <c r="E35" s="517" t="s">
        <v>1032</v>
      </c>
      <c r="F35" s="509"/>
      <c r="G35" s="631"/>
      <c r="H35" s="509"/>
      <c r="I35" s="631"/>
      <c r="J35" s="509"/>
      <c r="K35" s="510"/>
      <c r="U35" s="442"/>
      <c r="V35" s="442">
        <v>11</v>
      </c>
    </row>
    <row r="36" spans="1:22" ht="71.25" customHeight="1">
      <c r="A36" s="442"/>
      <c r="B36" s="442" t="s">
        <v>1033</v>
      </c>
      <c r="C36" s="463"/>
      <c r="D36" s="629">
        <v>3</v>
      </c>
      <c r="E36" s="630" t="s">
        <v>1034</v>
      </c>
      <c r="F36" s="632" t="s">
        <v>386</v>
      </c>
      <c r="G36" s="745" t="s">
        <v>1035</v>
      </c>
      <c r="H36" s="744" t="s">
        <v>386</v>
      </c>
      <c r="I36" s="461" t="s">
        <v>1035</v>
      </c>
      <c r="J36" s="628" t="s">
        <v>386</v>
      </c>
      <c r="K36" s="226" t="s">
        <v>1036</v>
      </c>
      <c r="V36" s="442">
        <v>68</v>
      </c>
    </row>
    <row r="37" spans="1:22" ht="11.45" customHeight="1">
      <c r="A37" s="442"/>
      <c r="C37" s="442"/>
      <c r="D37" s="284"/>
      <c r="E37" s="517" t="s">
        <v>1037</v>
      </c>
      <c r="F37" s="509"/>
      <c r="G37" s="631"/>
      <c r="H37" s="631"/>
      <c r="I37" s="631"/>
      <c r="J37" s="631"/>
      <c r="K37" s="510"/>
      <c r="U37" s="442"/>
      <c r="V37" s="442">
        <v>11</v>
      </c>
    </row>
    <row r="38" spans="1:22" ht="71.25" customHeight="1">
      <c r="A38" s="442"/>
      <c r="B38" s="442" t="s">
        <v>1038</v>
      </c>
      <c r="C38" s="463"/>
      <c r="D38" s="629">
        <v>4</v>
      </c>
      <c r="E38" s="630" t="s">
        <v>1039</v>
      </c>
      <c r="F38" s="632" t="s">
        <v>386</v>
      </c>
      <c r="G38" s="745" t="s">
        <v>1035</v>
      </c>
      <c r="H38" s="746" t="s">
        <v>386</v>
      </c>
      <c r="I38" s="461" t="s">
        <v>1035</v>
      </c>
      <c r="J38" s="458" t="s">
        <v>386</v>
      </c>
      <c r="K38" s="616" t="s">
        <v>1040</v>
      </c>
      <c r="V38" s="442">
        <v>68</v>
      </c>
    </row>
    <row r="39" spans="1:22" ht="11.45" customHeight="1">
      <c r="A39" s="442"/>
      <c r="C39" s="442"/>
      <c r="D39" s="284"/>
      <c r="E39" s="517" t="s">
        <v>1041</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1042</v>
      </c>
      <c r="H3" s="1083"/>
      <c r="AE3" s="694">
        <v>0</v>
      </c>
    </row>
    <row r="4" spans="1:31" ht="3" customHeight="1">
      <c r="AE4" s="693">
        <v>3</v>
      </c>
    </row>
    <row r="5" spans="1:31" ht="27.4" customHeight="1">
      <c r="F5" s="2582" t="str">
        <f>IP_NAME_FORM</f>
        <v>Форма 7. Информация об инвестиционных программах организации холодного водоснабжения и отчетах об их исполнении</v>
      </c>
      <c r="G5" s="2582"/>
      <c r="H5" s="2582"/>
      <c r="I5" s="2582"/>
      <c r="J5" s="2582"/>
      <c r="K5" s="2582"/>
      <c r="M5" s="519"/>
      <c r="AB5" s="836"/>
      <c r="AE5" s="693">
        <v>26</v>
      </c>
    </row>
    <row r="6" spans="1:31" s="1562" customFormat="1" ht="16.899999999999999" customHeight="1">
      <c r="A6" s="1093"/>
      <c r="B6" s="1093"/>
      <c r="C6" s="1093"/>
      <c r="D6" s="1087"/>
      <c r="F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55"/>
      <c r="H6" s="2555"/>
      <c r="I6" s="2555"/>
      <c r="J6" s="2555"/>
      <c r="K6" s="2555"/>
      <c r="M6" s="519"/>
      <c r="AB6" s="1075"/>
      <c r="AE6" s="1558">
        <v>16</v>
      </c>
    </row>
    <row r="7" spans="1:31" ht="10.5" customHeight="1">
      <c r="AE7" s="693">
        <v>10</v>
      </c>
    </row>
    <row r="8" spans="1:31" ht="10.5" customHeight="1">
      <c r="A8" s="981"/>
      <c r="B8" s="981"/>
      <c r="C8" s="981"/>
      <c r="F8" s="2442" t="s">
        <v>380</v>
      </c>
      <c r="G8" s="2448"/>
      <c r="H8" s="2448"/>
      <c r="I8" s="2448"/>
      <c r="J8" s="2448"/>
      <c r="K8" s="2448"/>
      <c r="L8" s="2448"/>
      <c r="M8" s="2448"/>
      <c r="N8" s="2448"/>
      <c r="O8" s="2448"/>
      <c r="P8" s="2448"/>
      <c r="Q8" s="2448"/>
      <c r="R8" s="2448"/>
      <c r="S8" s="2448"/>
      <c r="T8" s="2448"/>
      <c r="U8" s="2448"/>
      <c r="V8" s="2448"/>
      <c r="W8" s="2448"/>
      <c r="X8" s="2448"/>
      <c r="Y8" s="2448"/>
      <c r="Z8" s="2448"/>
      <c r="AA8" s="2448"/>
      <c r="AB8" s="2441"/>
      <c r="AE8" s="693">
        <v>10</v>
      </c>
    </row>
    <row r="9" spans="1:31" ht="43.15" customHeight="1">
      <c r="A9" s="835"/>
      <c r="B9" s="835"/>
      <c r="C9" s="835"/>
      <c r="F9" s="2461" t="s">
        <v>88</v>
      </c>
      <c r="G9" s="2461" t="s">
        <v>1042</v>
      </c>
      <c r="H9" s="2535" t="s">
        <v>1043</v>
      </c>
      <c r="I9" s="2461" t="s">
        <v>1044</v>
      </c>
      <c r="J9" s="2461" t="s">
        <v>1045</v>
      </c>
      <c r="K9" s="2461" t="s">
        <v>1046</v>
      </c>
      <c r="L9" s="2461" t="s">
        <v>1047</v>
      </c>
      <c r="M9" s="2461" t="s">
        <v>1048</v>
      </c>
      <c r="N9" s="2563" t="s">
        <v>1049</v>
      </c>
      <c r="O9" s="2563"/>
      <c r="P9" s="2563"/>
      <c r="Q9" s="2615" t="s">
        <v>1050</v>
      </c>
      <c r="R9" s="2616"/>
      <c r="S9" s="2616"/>
      <c r="T9" s="2617"/>
      <c r="U9" s="2615" t="s">
        <v>1051</v>
      </c>
      <c r="V9" s="2616"/>
      <c r="W9" s="2616"/>
      <c r="X9" s="2617"/>
      <c r="Y9" s="2442" t="s">
        <v>1052</v>
      </c>
      <c r="Z9" s="2448"/>
      <c r="AA9" s="2448"/>
      <c r="AB9" s="2441"/>
      <c r="AE9" s="693">
        <v>41</v>
      </c>
    </row>
    <row r="10" spans="1:31" ht="43.15" customHeight="1">
      <c r="A10" s="835"/>
      <c r="B10" s="835"/>
      <c r="C10" s="835"/>
      <c r="F10" s="2535"/>
      <c r="G10" s="2535"/>
      <c r="H10" s="2587"/>
      <c r="I10" s="2535"/>
      <c r="J10" s="2535"/>
      <c r="K10" s="2535"/>
      <c r="L10" s="2535"/>
      <c r="M10" s="2535"/>
      <c r="N10" s="833" t="s">
        <v>1053</v>
      </c>
      <c r="O10" s="833" t="s">
        <v>1054</v>
      </c>
      <c r="P10" s="834" t="s">
        <v>1055</v>
      </c>
      <c r="Q10" s="845" t="s">
        <v>89</v>
      </c>
      <c r="R10" s="845" t="s">
        <v>1056</v>
      </c>
      <c r="S10" s="845" t="s">
        <v>1057</v>
      </c>
      <c r="T10" s="846" t="s">
        <v>1058</v>
      </c>
      <c r="U10" s="845" t="s">
        <v>89</v>
      </c>
      <c r="V10" s="845" t="s">
        <v>1059</v>
      </c>
      <c r="W10" s="845" t="s">
        <v>1057</v>
      </c>
      <c r="X10" s="846" t="s">
        <v>1058</v>
      </c>
      <c r="Y10" s="238" t="s">
        <v>1060</v>
      </c>
      <c r="Z10" s="2442" t="s">
        <v>88</v>
      </c>
      <c r="AA10" s="2441"/>
      <c r="AB10" s="979" t="s">
        <v>1061</v>
      </c>
      <c r="AE10" s="693">
        <v>41</v>
      </c>
    </row>
    <row r="11" spans="1:31" s="1569" customFormat="1" ht="5.25" hidden="1" customHeight="1">
      <c r="A11" s="982"/>
      <c r="B11" s="982"/>
      <c r="C11" s="982"/>
      <c r="E11" s="980"/>
      <c r="F11" s="2526" t="s">
        <v>456</v>
      </c>
      <c r="G11" s="2716"/>
      <c r="H11" s="2713"/>
      <c r="I11" s="2713"/>
      <c r="J11" s="2713"/>
      <c r="K11" s="2715"/>
      <c r="L11" s="2715"/>
      <c r="M11" s="2715"/>
      <c r="N11" s="2713"/>
      <c r="O11" s="2713"/>
      <c r="P11" s="2461"/>
      <c r="Q11" s="2545"/>
      <c r="R11" s="2545"/>
      <c r="S11" s="2545"/>
      <c r="T11" s="2713"/>
      <c r="U11" s="2545"/>
      <c r="V11" s="2545"/>
      <c r="W11" s="2545"/>
      <c r="X11" s="2713"/>
      <c r="Y11" s="2472"/>
      <c r="Z11" s="2472"/>
      <c r="AA11" s="2472"/>
      <c r="AB11" s="2472"/>
      <c r="AD11" s="448" t="s">
        <v>1062</v>
      </c>
      <c r="AE11" s="448">
        <v>0</v>
      </c>
    </row>
    <row r="12" spans="1:31" s="1569" customFormat="1" ht="5.25" hidden="1" customHeight="1">
      <c r="A12" s="826"/>
      <c r="B12" s="826"/>
      <c r="C12" s="826"/>
      <c r="E12" s="455"/>
      <c r="F12" s="2526"/>
      <c r="G12" s="2716"/>
      <c r="H12" s="2713"/>
      <c r="I12" s="2713"/>
      <c r="J12" s="2713"/>
      <c r="K12" s="2715"/>
      <c r="L12" s="2715"/>
      <c r="M12" s="2715"/>
      <c r="N12" s="2713"/>
      <c r="O12" s="2713"/>
      <c r="P12" s="2461"/>
      <c r="Q12" s="2545"/>
      <c r="R12" s="2545"/>
      <c r="S12" s="2545"/>
      <c r="T12" s="2713"/>
      <c r="U12" s="2545"/>
      <c r="V12" s="2545"/>
      <c r="W12" s="2545"/>
      <c r="X12" s="2713"/>
      <c r="Y12" s="2714"/>
      <c r="Z12" s="2714"/>
      <c r="AA12" s="2714"/>
      <c r="AB12" s="2714"/>
      <c r="AE12" s="448">
        <v>0</v>
      </c>
    </row>
    <row r="13" spans="1:31" ht="10.5" customHeight="1">
      <c r="F13" s="832"/>
      <c r="G13" s="587" t="s">
        <v>1063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582" t="str">
        <f>IP_NAME_FORM</f>
        <v>Форма 7. Информация об инвестиционных программах организации холодного водоснабжения и отчетах об их исполнении</v>
      </c>
      <c r="G5" s="2582"/>
      <c r="H5" s="2582"/>
      <c r="I5" s="2582"/>
      <c r="J5" s="2582"/>
      <c r="K5" s="2582"/>
      <c r="L5" s="1062"/>
      <c r="M5" s="1062"/>
      <c r="AG5" s="836"/>
      <c r="AH5" s="1075"/>
      <c r="BG5" s="693">
        <v>26</v>
      </c>
    </row>
    <row r="6" spans="1:59" ht="10.5" customHeight="1">
      <c r="F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55"/>
      <c r="H6" s="2555"/>
      <c r="I6" s="2555"/>
      <c r="J6" s="2555"/>
      <c r="K6" s="255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719" t="s">
        <v>380</v>
      </c>
      <c r="G8" s="2720"/>
      <c r="H8" s="2720"/>
      <c r="I8" s="2720"/>
      <c r="J8" s="2720"/>
      <c r="K8" s="2720"/>
      <c r="L8" s="2720"/>
      <c r="M8" s="2720"/>
      <c r="N8" s="2720"/>
      <c r="O8" s="2720"/>
      <c r="P8" s="2720"/>
      <c r="Q8" s="2720"/>
      <c r="R8" s="2720"/>
      <c r="S8" s="2720"/>
      <c r="T8" s="2720"/>
      <c r="U8" s="2720"/>
      <c r="V8" s="2720"/>
      <c r="W8" s="2720"/>
      <c r="X8" s="2720"/>
      <c r="Y8" s="2720"/>
      <c r="Z8" s="2720"/>
      <c r="AA8" s="2720"/>
      <c r="AB8" s="2720"/>
      <c r="AC8" s="2720"/>
      <c r="AD8" s="2720"/>
      <c r="AE8" s="2720"/>
      <c r="AF8" s="2720"/>
      <c r="AG8" s="2720"/>
      <c r="AH8" s="2720"/>
      <c r="AI8" s="2720"/>
      <c r="AJ8" s="2720"/>
      <c r="AK8" s="272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563" t="s">
        <v>1064</v>
      </c>
      <c r="G9" s="2663" t="s">
        <v>1065</v>
      </c>
      <c r="H9" s="2702"/>
      <c r="I9" s="2461" t="s">
        <v>1066</v>
      </c>
      <c r="J9" s="2461"/>
      <c r="K9" s="2461" t="s">
        <v>1067</v>
      </c>
      <c r="L9" s="2461"/>
      <c r="M9" s="2461"/>
      <c r="N9" s="2461"/>
      <c r="O9" s="2461"/>
      <c r="P9" s="2461"/>
      <c r="Q9" s="2461"/>
      <c r="R9" s="2461"/>
      <c r="S9" s="2461"/>
      <c r="T9" s="2461"/>
      <c r="U9" s="2461"/>
      <c r="V9" s="2461"/>
      <c r="W9" s="2461"/>
      <c r="X9" s="2461"/>
      <c r="Y9" s="2461"/>
      <c r="Z9" s="2536" t="s">
        <v>1068</v>
      </c>
      <c r="AA9" s="2537"/>
      <c r="AB9" s="2461" t="s">
        <v>1069</v>
      </c>
      <c r="AC9" s="2461"/>
      <c r="AD9" s="2461"/>
      <c r="AE9" s="2461"/>
      <c r="AF9" s="2535" t="s">
        <v>1070</v>
      </c>
      <c r="AG9" s="2461" t="s">
        <v>1071</v>
      </c>
      <c r="AH9" s="2461"/>
      <c r="AI9" s="2535" t="s">
        <v>1072</v>
      </c>
      <c r="AJ9" s="2461" t="s">
        <v>1073</v>
      </c>
      <c r="AK9" s="246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563"/>
      <c r="G10" s="2664"/>
      <c r="H10" s="2567"/>
      <c r="I10" s="2461"/>
      <c r="J10" s="2461"/>
      <c r="K10" s="2461" t="s">
        <v>1074</v>
      </c>
      <c r="L10" s="2442" t="s">
        <v>1075</v>
      </c>
      <c r="M10" s="2441"/>
      <c r="N10" s="2461" t="s">
        <v>1076</v>
      </c>
      <c r="O10" s="2461"/>
      <c r="P10" s="2461"/>
      <c r="Q10" s="2461"/>
      <c r="R10" s="2461"/>
      <c r="S10" s="2461"/>
      <c r="T10" s="2461"/>
      <c r="U10" s="2461"/>
      <c r="V10" s="2461"/>
      <c r="W10" s="2461"/>
      <c r="X10" s="2461"/>
      <c r="Y10" s="2461"/>
      <c r="Z10" s="2538"/>
      <c r="AA10" s="2539"/>
      <c r="AB10" s="2461"/>
      <c r="AC10" s="2461"/>
      <c r="AD10" s="2461"/>
      <c r="AE10" s="2461"/>
      <c r="AF10" s="2540"/>
      <c r="AG10" s="2461"/>
      <c r="AH10" s="2461"/>
      <c r="AI10" s="2540"/>
      <c r="AJ10" s="2461"/>
      <c r="AK10" s="246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563"/>
      <c r="G11" s="2664"/>
      <c r="H11" s="2567"/>
      <c r="I11" s="2461"/>
      <c r="J11" s="2461"/>
      <c r="K11" s="2461"/>
      <c r="L11" s="2535" t="s">
        <v>1077</v>
      </c>
      <c r="M11" s="2535" t="s">
        <v>1078</v>
      </c>
      <c r="N11" s="2461" t="s">
        <v>1079</v>
      </c>
      <c r="O11" s="2461"/>
      <c r="P11" s="2518" t="s">
        <v>1060</v>
      </c>
      <c r="Q11" s="2518" t="s">
        <v>1080</v>
      </c>
      <c r="R11" s="2518" t="s">
        <v>1081</v>
      </c>
      <c r="S11" s="2518" t="s">
        <v>1082</v>
      </c>
      <c r="T11" s="2518"/>
      <c r="U11" s="2518"/>
      <c r="V11" s="2518"/>
      <c r="W11" s="2518"/>
      <c r="X11" s="2518"/>
      <c r="Y11" s="2518"/>
      <c r="Z11" s="2538"/>
      <c r="AA11" s="2539"/>
      <c r="AB11" s="2461" t="s">
        <v>1083</v>
      </c>
      <c r="AC11" s="2461"/>
      <c r="AD11" s="2442" t="s">
        <v>1084</v>
      </c>
      <c r="AE11" s="2441"/>
      <c r="AF11" s="2540"/>
      <c r="AG11" s="2461"/>
      <c r="AH11" s="2461"/>
      <c r="AI11" s="2540"/>
      <c r="AJ11" s="2461"/>
      <c r="AK11" s="246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563"/>
      <c r="G12" s="2665"/>
      <c r="H12" s="2718"/>
      <c r="I12" s="1080" t="s">
        <v>89</v>
      </c>
      <c r="J12" s="1080" t="s">
        <v>1085</v>
      </c>
      <c r="K12" s="2461"/>
      <c r="L12" s="2587"/>
      <c r="M12" s="2587"/>
      <c r="N12" s="2461"/>
      <c r="O12" s="2461"/>
      <c r="P12" s="2518"/>
      <c r="Q12" s="2518"/>
      <c r="R12" s="2518"/>
      <c r="S12" s="1061" t="s">
        <v>86</v>
      </c>
      <c r="T12" s="1061" t="s">
        <v>87</v>
      </c>
      <c r="U12" s="1061" t="s">
        <v>85</v>
      </c>
      <c r="V12" s="1061" t="s">
        <v>1086</v>
      </c>
      <c r="W12" s="1061" t="s">
        <v>85</v>
      </c>
      <c r="X12" s="1061" t="s">
        <v>1087</v>
      </c>
      <c r="Y12" s="1061" t="s">
        <v>1088</v>
      </c>
      <c r="Z12" s="2541"/>
      <c r="AA12" s="2542"/>
      <c r="AB12" s="1068" t="s">
        <v>1089</v>
      </c>
      <c r="AC12" s="1068" t="s">
        <v>1090</v>
      </c>
      <c r="AD12" s="1068" t="s">
        <v>1089</v>
      </c>
      <c r="AE12" s="1068" t="s">
        <v>1090</v>
      </c>
      <c r="AF12" s="2587"/>
      <c r="AG12" s="1081" t="s">
        <v>1091</v>
      </c>
      <c r="AH12" s="1081" t="s">
        <v>1092</v>
      </c>
      <c r="AI12" s="2587"/>
      <c r="AJ12" s="1081" t="s">
        <v>1091</v>
      </c>
      <c r="AK12" s="1081" t="s">
        <v>1092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1093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717"/>
      <c r="G17" s="2717"/>
      <c r="H17" s="2717"/>
      <c r="I17" s="2717"/>
      <c r="J17" s="271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717"/>
      <c r="G18" s="2717"/>
      <c r="H18" s="2717"/>
      <c r="I18" s="2717"/>
      <c r="J18" s="271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717"/>
      <c r="G19" s="2717"/>
      <c r="H19" s="2717"/>
      <c r="I19" s="2717"/>
      <c r="J19" s="271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58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582"/>
      <c r="H5" s="2582"/>
      <c r="I5" s="2582"/>
      <c r="J5" s="2582"/>
      <c r="W5" s="1082">
        <v>26</v>
      </c>
    </row>
    <row r="6" spans="1:23" ht="10.5" customHeight="1">
      <c r="F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55"/>
      <c r="H6" s="2555"/>
      <c r="I6" s="2555"/>
      <c r="J6" s="255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722" t="s">
        <v>380</v>
      </c>
      <c r="G9" s="2723"/>
      <c r="H9" s="2723"/>
      <c r="I9" s="2723"/>
      <c r="J9" s="2723"/>
      <c r="K9" s="1167"/>
      <c r="L9" s="1084"/>
      <c r="M9" s="1084"/>
      <c r="N9" s="1084"/>
      <c r="O9" s="1084"/>
      <c r="P9" s="1084"/>
      <c r="Q9" s="1084"/>
      <c r="R9" s="1084"/>
      <c r="S9" s="1084"/>
      <c r="T9" s="1084"/>
      <c r="U9" s="1084"/>
      <c r="V9" s="1084"/>
      <c r="W9" s="1082">
        <v>10</v>
      </c>
    </row>
    <row r="10" spans="1:23" ht="25.15" customHeight="1">
      <c r="E10" s="1084"/>
      <c r="F10" s="2726" t="s">
        <v>88</v>
      </c>
      <c r="G10" s="2730" t="s">
        <v>1094</v>
      </c>
      <c r="H10" s="2713" t="s">
        <v>1095</v>
      </c>
      <c r="I10" s="2713"/>
      <c r="J10" s="2713"/>
      <c r="K10" s="1160"/>
      <c r="L10" s="1084"/>
      <c r="M10" s="1084"/>
      <c r="N10" s="1084"/>
      <c r="O10" s="1084"/>
      <c r="P10" s="1084"/>
      <c r="Q10" s="1084"/>
      <c r="R10" s="1084"/>
      <c r="S10" s="1084"/>
      <c r="T10" s="1084"/>
      <c r="U10" s="1084"/>
      <c r="V10" s="1084"/>
      <c r="W10" s="1082">
        <v>24</v>
      </c>
    </row>
    <row r="11" spans="1:23" ht="25.5" customHeight="1">
      <c r="E11" s="1084"/>
      <c r="F11" s="2727"/>
      <c r="G11" s="2730"/>
      <c r="H11" s="2729" t="e">
        <f>INDEX(IP_MAIN_LIST_NAME_IP,MATCH(H8,IP_MAIN_LIST_IP_ID,0))&amp;" ("&amp;INDEX(IP_MAIN_START_DATE,MATCH(H8,IP_MAIN_LIST_IP_ID,0))&amp;"-"&amp;INDEX(IP_MAIN_END_DATE,MATCH(H8,IP_MAIN_LIST_IP_ID,0))&amp;")"</f>
        <v>#N/A</v>
      </c>
      <c r="I11" s="2729"/>
      <c r="J11" s="2729"/>
      <c r="K11" s="1160"/>
      <c r="L11" s="1084"/>
      <c r="M11" s="1084"/>
      <c r="N11" s="1084"/>
      <c r="O11" s="1084"/>
      <c r="P11" s="1084"/>
      <c r="Q11" s="1084"/>
      <c r="R11" s="1084"/>
      <c r="S11" s="1084"/>
      <c r="T11" s="1084"/>
      <c r="U11" s="1084"/>
      <c r="V11" s="1084"/>
      <c r="W11" s="1082">
        <v>24</v>
      </c>
    </row>
    <row r="12" spans="1:23" ht="10.5" customHeight="1">
      <c r="F12" s="2728"/>
      <c r="G12" s="2730"/>
      <c r="H12" s="1153" t="s">
        <v>1096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1097</v>
      </c>
      <c r="G14" s="2724" t="s">
        <v>1098</v>
      </c>
      <c r="H14" s="2724"/>
      <c r="I14" s="2724"/>
      <c r="J14" s="2724"/>
      <c r="K14" s="1161"/>
      <c r="W14" s="1082">
        <v>11</v>
      </c>
    </row>
    <row r="15" spans="1:23" ht="11.45" customHeight="1">
      <c r="F15" s="1157">
        <v>1</v>
      </c>
      <c r="G15" s="627" t="s">
        <v>1099</v>
      </c>
      <c r="H15" s="1163">
        <f t="shared" ref="H15:H36" si="0">SUM(I15:J15)</f>
        <v>0</v>
      </c>
      <c r="I15" s="1163">
        <f>SUM(I16:I27)</f>
        <v>0</v>
      </c>
      <c r="J15" s="1152"/>
      <c r="K15" s="1161"/>
      <c r="W15" s="1082">
        <v>11</v>
      </c>
    </row>
    <row r="16" spans="1:23" ht="24" customHeight="1">
      <c r="F16" s="1157" t="s">
        <v>1100</v>
      </c>
      <c r="G16" s="1164" t="s">
        <v>1101</v>
      </c>
      <c r="H16" s="1163">
        <f t="shared" si="0"/>
        <v>0</v>
      </c>
      <c r="I16" s="1162"/>
      <c r="J16" s="1152"/>
      <c r="K16" s="1161"/>
      <c r="W16" s="1082">
        <v>23</v>
      </c>
    </row>
    <row r="17" spans="6:23" ht="24" customHeight="1">
      <c r="F17" s="1157" t="s">
        <v>1102</v>
      </c>
      <c r="G17" s="1164" t="s">
        <v>1103</v>
      </c>
      <c r="H17" s="1163">
        <f t="shared" si="0"/>
        <v>0</v>
      </c>
      <c r="I17" s="1162"/>
      <c r="J17" s="1152"/>
      <c r="K17" s="1161"/>
      <c r="W17" s="1082">
        <v>23</v>
      </c>
    </row>
    <row r="18" spans="6:23" ht="35.65" customHeight="1">
      <c r="F18" s="1157" t="s">
        <v>1104</v>
      </c>
      <c r="G18" s="1164" t="s">
        <v>1105</v>
      </c>
      <c r="H18" s="1163">
        <f t="shared" si="0"/>
        <v>0</v>
      </c>
      <c r="I18" s="1162"/>
      <c r="J18" s="1152"/>
      <c r="K18" s="1161"/>
      <c r="W18" s="1082">
        <v>34</v>
      </c>
    </row>
    <row r="19" spans="6:23" ht="35.65" customHeight="1">
      <c r="F19" s="1157" t="s">
        <v>1106</v>
      </c>
      <c r="G19" s="1164" t="s">
        <v>1107</v>
      </c>
      <c r="H19" s="1163">
        <f t="shared" si="0"/>
        <v>0</v>
      </c>
      <c r="I19" s="1162"/>
      <c r="J19" s="1152"/>
      <c r="K19" s="1161"/>
      <c r="W19" s="1082">
        <v>34</v>
      </c>
    </row>
    <row r="20" spans="6:23" ht="48.2" customHeight="1">
      <c r="F20" s="1157" t="s">
        <v>1108</v>
      </c>
      <c r="G20" s="1164" t="s">
        <v>1109</v>
      </c>
      <c r="H20" s="1163">
        <f t="shared" si="0"/>
        <v>0</v>
      </c>
      <c r="I20" s="1162"/>
      <c r="J20" s="1152"/>
      <c r="K20" s="1161"/>
      <c r="W20" s="1082">
        <v>46</v>
      </c>
    </row>
    <row r="21" spans="6:23" ht="35.65" customHeight="1">
      <c r="F21" s="1157" t="s">
        <v>1110</v>
      </c>
      <c r="G21" s="1164" t="s">
        <v>1111</v>
      </c>
      <c r="H21" s="1163">
        <f t="shared" si="0"/>
        <v>0</v>
      </c>
      <c r="I21" s="1162"/>
      <c r="J21" s="1152"/>
      <c r="K21" s="1161"/>
      <c r="W21" s="1082">
        <v>34</v>
      </c>
    </row>
    <row r="22" spans="6:23" ht="35.65" customHeight="1">
      <c r="F22" s="1157" t="s">
        <v>1112</v>
      </c>
      <c r="G22" s="1164" t="s">
        <v>1113</v>
      </c>
      <c r="H22" s="1163">
        <f t="shared" si="0"/>
        <v>0</v>
      </c>
      <c r="I22" s="1162"/>
      <c r="J22" s="1152"/>
      <c r="K22" s="1161"/>
      <c r="W22" s="1082">
        <v>34</v>
      </c>
    </row>
    <row r="23" spans="6:23" ht="24" customHeight="1">
      <c r="F23" s="1157" t="s">
        <v>1114</v>
      </c>
      <c r="G23" s="1164" t="s">
        <v>1115</v>
      </c>
      <c r="H23" s="1163">
        <f t="shared" si="0"/>
        <v>0</v>
      </c>
      <c r="I23" s="1162"/>
      <c r="J23" s="1152"/>
      <c r="K23" s="1161"/>
      <c r="W23" s="1082">
        <v>23</v>
      </c>
    </row>
    <row r="24" spans="6:23" ht="24" customHeight="1">
      <c r="F24" s="1157" t="s">
        <v>1116</v>
      </c>
      <c r="G24" s="1164" t="s">
        <v>1117</v>
      </c>
      <c r="H24" s="1163">
        <f t="shared" si="0"/>
        <v>0</v>
      </c>
      <c r="I24" s="1162"/>
      <c r="J24" s="1152"/>
      <c r="K24" s="1161"/>
      <c r="W24" s="1082">
        <v>23</v>
      </c>
    </row>
    <row r="25" spans="6:23" ht="35.65" customHeight="1">
      <c r="F25" s="1157" t="s">
        <v>1118</v>
      </c>
      <c r="G25" s="1164" t="s">
        <v>1119</v>
      </c>
      <c r="H25" s="1163">
        <f t="shared" si="0"/>
        <v>0</v>
      </c>
      <c r="I25" s="1162"/>
      <c r="J25" s="1152"/>
      <c r="K25" s="1161"/>
      <c r="W25" s="1082">
        <v>34</v>
      </c>
    </row>
    <row r="26" spans="6:23" ht="35.65" customHeight="1">
      <c r="F26" s="1157" t="s">
        <v>1120</v>
      </c>
      <c r="G26" s="1164" t="s">
        <v>1121</v>
      </c>
      <c r="H26" s="1163">
        <f t="shared" si="0"/>
        <v>0</v>
      </c>
      <c r="I26" s="1162"/>
      <c r="J26" s="1152"/>
      <c r="K26" s="1161"/>
      <c r="W26" s="1082">
        <v>34</v>
      </c>
    </row>
    <row r="27" spans="6:23" ht="11.45" customHeight="1">
      <c r="F27" s="1157" t="s">
        <v>1122</v>
      </c>
      <c r="G27" s="1164" t="s">
        <v>1123</v>
      </c>
      <c r="H27" s="1163">
        <f t="shared" si="0"/>
        <v>0</v>
      </c>
      <c r="I27" s="1162"/>
      <c r="J27" s="1152"/>
      <c r="K27" s="1161"/>
      <c r="W27" s="1082">
        <v>11</v>
      </c>
    </row>
    <row r="28" spans="6:23" ht="11.45" customHeight="1">
      <c r="F28" s="1157">
        <v>2</v>
      </c>
      <c r="G28" s="627" t="s">
        <v>1124</v>
      </c>
      <c r="H28" s="1163">
        <f t="shared" si="0"/>
        <v>0</v>
      </c>
      <c r="I28" s="1163">
        <f>SUM(I29:I31)</f>
        <v>0</v>
      </c>
      <c r="J28" s="1152"/>
      <c r="K28" s="1161"/>
      <c r="W28" s="1082">
        <v>11</v>
      </c>
    </row>
    <row r="29" spans="6:23" ht="11.45" customHeight="1">
      <c r="F29" s="1157" t="s">
        <v>787</v>
      </c>
      <c r="G29" s="1164" t="s">
        <v>1125</v>
      </c>
      <c r="H29" s="1163">
        <f t="shared" si="0"/>
        <v>0</v>
      </c>
      <c r="I29" s="1162"/>
      <c r="J29" s="1152"/>
      <c r="K29" s="1161"/>
      <c r="W29" s="1082">
        <v>11</v>
      </c>
    </row>
    <row r="30" spans="6:23" ht="11.45" customHeight="1">
      <c r="F30" s="1157" t="s">
        <v>387</v>
      </c>
      <c r="G30" s="1164" t="s">
        <v>1126</v>
      </c>
      <c r="H30" s="1163">
        <f t="shared" si="0"/>
        <v>0</v>
      </c>
      <c r="I30" s="1162"/>
      <c r="J30" s="1152"/>
      <c r="K30" s="1161"/>
      <c r="W30" s="1082">
        <v>11</v>
      </c>
    </row>
    <row r="31" spans="6:23" ht="11.45" customHeight="1">
      <c r="F31" s="1157" t="s">
        <v>390</v>
      </c>
      <c r="G31" s="1164" t="s">
        <v>1127</v>
      </c>
      <c r="H31" s="1163">
        <f t="shared" si="0"/>
        <v>0</v>
      </c>
      <c r="I31" s="1162"/>
      <c r="J31" s="1152"/>
      <c r="K31" s="1161"/>
      <c r="W31" s="1082">
        <v>11</v>
      </c>
    </row>
    <row r="32" spans="6:23" ht="11.45" customHeight="1">
      <c r="F32" s="1157">
        <v>3</v>
      </c>
      <c r="G32" s="627" t="s">
        <v>1128</v>
      </c>
      <c r="H32" s="1163">
        <f t="shared" si="0"/>
        <v>0</v>
      </c>
      <c r="I32" s="1163">
        <f>SUM(I33:I34)</f>
        <v>0</v>
      </c>
      <c r="J32" s="1152"/>
      <c r="K32" s="1161"/>
      <c r="W32" s="1082">
        <v>11</v>
      </c>
    </row>
    <row r="33" spans="6:23" ht="48.2" customHeight="1">
      <c r="F33" s="1157" t="s">
        <v>404</v>
      </c>
      <c r="G33" s="1164" t="s">
        <v>1129</v>
      </c>
      <c r="H33" s="1163">
        <f t="shared" si="0"/>
        <v>0</v>
      </c>
      <c r="I33" s="1162"/>
      <c r="J33" s="1152"/>
      <c r="K33" s="1161"/>
      <c r="W33" s="1082">
        <v>46</v>
      </c>
    </row>
    <row r="34" spans="6:23" ht="11.45" customHeight="1">
      <c r="F34" s="1157" t="s">
        <v>412</v>
      </c>
      <c r="G34" s="1164" t="s">
        <v>1130</v>
      </c>
      <c r="H34" s="1163">
        <f t="shared" si="0"/>
        <v>0</v>
      </c>
      <c r="I34" s="1162"/>
      <c r="J34" s="1152"/>
      <c r="K34" s="1161"/>
      <c r="W34" s="1082">
        <v>11</v>
      </c>
    </row>
    <row r="35" spans="6:23" ht="11.45" customHeight="1">
      <c r="F35" s="1157">
        <v>4</v>
      </c>
      <c r="G35" s="627" t="s">
        <v>1131</v>
      </c>
      <c r="H35" s="1163">
        <f t="shared" si="0"/>
        <v>0</v>
      </c>
      <c r="I35" s="1162"/>
      <c r="J35" s="1152"/>
      <c r="K35" s="1161"/>
      <c r="W35" s="1082">
        <v>11</v>
      </c>
    </row>
    <row r="36" spans="6:23" ht="11.45" customHeight="1">
      <c r="F36" s="1157"/>
      <c r="G36" s="630" t="s">
        <v>1132</v>
      </c>
      <c r="H36" s="1163">
        <f t="shared" si="0"/>
        <v>0</v>
      </c>
      <c r="I36" s="1163">
        <f>SUM(I15,I28,I32,I35)</f>
        <v>0</v>
      </c>
      <c r="J36" s="1152"/>
      <c r="K36" s="1161"/>
      <c r="W36" s="1082">
        <v>11</v>
      </c>
    </row>
    <row r="37" spans="6:23" ht="29.25" customHeight="1">
      <c r="F37" s="1158" t="s">
        <v>1133</v>
      </c>
      <c r="G37" s="2725" t="s">
        <v>1134</v>
      </c>
      <c r="H37" s="2725"/>
      <c r="I37" s="2725"/>
      <c r="J37" s="2725"/>
      <c r="K37" s="1161"/>
      <c r="W37" s="1082">
        <v>28</v>
      </c>
    </row>
    <row r="38" spans="6:23" ht="24" customHeight="1">
      <c r="F38" s="1157" t="s">
        <v>177</v>
      </c>
      <c r="G38" s="627" t="s">
        <v>1135</v>
      </c>
      <c r="H38" s="1163">
        <f t="shared" ref="H38:H58" si="1">SUM(I38:J38)</f>
        <v>0</v>
      </c>
      <c r="I38" s="1163">
        <f>SUM(I39,I44,I47)</f>
        <v>0</v>
      </c>
      <c r="J38" s="1152"/>
      <c r="K38" s="1161"/>
      <c r="W38" s="1082">
        <v>23</v>
      </c>
    </row>
    <row r="39" spans="6:23" ht="11.45" customHeight="1">
      <c r="F39" s="1157" t="s">
        <v>1100</v>
      </c>
      <c r="G39" s="1164" t="s">
        <v>1099</v>
      </c>
      <c r="H39" s="1163">
        <f t="shared" si="1"/>
        <v>0</v>
      </c>
      <c r="I39" s="1163">
        <f>SUM(I40:I43)</f>
        <v>0</v>
      </c>
      <c r="J39" s="1152"/>
      <c r="K39" s="1161"/>
      <c r="W39" s="1082">
        <v>11</v>
      </c>
    </row>
    <row r="40" spans="6:23" ht="24" customHeight="1">
      <c r="F40" s="1157" t="s">
        <v>1136</v>
      </c>
      <c r="G40" s="1165" t="s">
        <v>1137</v>
      </c>
      <c r="H40" s="1163">
        <f t="shared" si="1"/>
        <v>0</v>
      </c>
      <c r="I40" s="1162"/>
      <c r="J40" s="1152"/>
      <c r="K40" s="1161"/>
      <c r="W40" s="1082">
        <v>23</v>
      </c>
    </row>
    <row r="41" spans="6:23" ht="11.45" customHeight="1">
      <c r="F41" s="1157" t="s">
        <v>1138</v>
      </c>
      <c r="G41" s="1165" t="s">
        <v>1139</v>
      </c>
      <c r="H41" s="1163">
        <f t="shared" si="1"/>
        <v>0</v>
      </c>
      <c r="I41" s="1162"/>
      <c r="J41" s="1152"/>
      <c r="K41" s="1161"/>
      <c r="W41" s="1082">
        <v>11</v>
      </c>
    </row>
    <row r="42" spans="6:23" ht="11.45" customHeight="1">
      <c r="F42" s="1157" t="s">
        <v>1140</v>
      </c>
      <c r="G42" s="1165" t="s">
        <v>1141</v>
      </c>
      <c r="H42" s="1163">
        <f t="shared" si="1"/>
        <v>0</v>
      </c>
      <c r="I42" s="1162"/>
      <c r="J42" s="1152"/>
      <c r="K42" s="1161"/>
      <c r="W42" s="1082">
        <v>11</v>
      </c>
    </row>
    <row r="43" spans="6:23" ht="35.65" customHeight="1">
      <c r="F43" s="1157" t="s">
        <v>1142</v>
      </c>
      <c r="G43" s="1165" t="s">
        <v>1143</v>
      </c>
      <c r="H43" s="1163">
        <f t="shared" si="1"/>
        <v>0</v>
      </c>
      <c r="I43" s="1162"/>
      <c r="J43" s="1152"/>
      <c r="K43" s="1161"/>
      <c r="W43" s="1082">
        <v>34</v>
      </c>
    </row>
    <row r="44" spans="6:23" ht="11.45" customHeight="1">
      <c r="F44" s="1157" t="s">
        <v>1102</v>
      </c>
      <c r="G44" s="1164" t="s">
        <v>1128</v>
      </c>
      <c r="H44" s="1163">
        <f t="shared" si="1"/>
        <v>0</v>
      </c>
      <c r="I44" s="1163">
        <f>SUM(I45:I46)</f>
        <v>0</v>
      </c>
      <c r="J44" s="1152"/>
      <c r="K44" s="1161"/>
      <c r="W44" s="1082">
        <v>11</v>
      </c>
    </row>
    <row r="45" spans="6:23" ht="48.2" customHeight="1">
      <c r="F45" s="1157" t="s">
        <v>1144</v>
      </c>
      <c r="G45" s="1165" t="s">
        <v>1129</v>
      </c>
      <c r="H45" s="1163">
        <f t="shared" si="1"/>
        <v>0</v>
      </c>
      <c r="I45" s="1162"/>
      <c r="J45" s="1152"/>
      <c r="K45" s="1161"/>
      <c r="W45" s="1082">
        <v>46</v>
      </c>
    </row>
    <row r="46" spans="6:23" ht="11.45" customHeight="1">
      <c r="F46" s="1157" t="s">
        <v>1145</v>
      </c>
      <c r="G46" s="1165" t="s">
        <v>1130</v>
      </c>
      <c r="H46" s="1163">
        <f t="shared" si="1"/>
        <v>0</v>
      </c>
      <c r="I46" s="1162"/>
      <c r="J46" s="1152"/>
      <c r="K46" s="1161"/>
      <c r="W46" s="1082">
        <v>11</v>
      </c>
    </row>
    <row r="47" spans="6:23" ht="11.45" customHeight="1">
      <c r="F47" s="1157" t="s">
        <v>1104</v>
      </c>
      <c r="G47" s="1164" t="s">
        <v>1146</v>
      </c>
      <c r="H47" s="1163">
        <f t="shared" si="1"/>
        <v>0</v>
      </c>
      <c r="I47" s="1162"/>
      <c r="J47" s="1152"/>
      <c r="K47" s="1161"/>
      <c r="W47" s="1082">
        <v>11</v>
      </c>
    </row>
    <row r="48" spans="6:23" ht="24" customHeight="1">
      <c r="F48" s="1157" t="s">
        <v>102</v>
      </c>
      <c r="G48" s="627" t="s">
        <v>1147</v>
      </c>
      <c r="H48" s="1163">
        <f t="shared" si="1"/>
        <v>0</v>
      </c>
      <c r="I48" s="1163">
        <f>SUM(I49,I54,I57)</f>
        <v>0</v>
      </c>
      <c r="J48" s="1152"/>
      <c r="K48" s="1161"/>
      <c r="W48" s="1082">
        <v>23</v>
      </c>
    </row>
    <row r="49" spans="1:23" ht="11.45" customHeight="1">
      <c r="F49" s="1157" t="s">
        <v>787</v>
      </c>
      <c r="G49" s="1164" t="s">
        <v>1099</v>
      </c>
      <c r="H49" s="1163">
        <f t="shared" si="1"/>
        <v>0</v>
      </c>
      <c r="I49" s="1163">
        <f>SUM(I50:I53)</f>
        <v>0</v>
      </c>
      <c r="J49" s="1152"/>
      <c r="K49" s="1161"/>
      <c r="W49" s="1082">
        <v>11</v>
      </c>
    </row>
    <row r="50" spans="1:23" ht="24" customHeight="1">
      <c r="F50" s="1157" t="s">
        <v>790</v>
      </c>
      <c r="G50" s="1165" t="s">
        <v>1137</v>
      </c>
      <c r="H50" s="1163">
        <f t="shared" si="1"/>
        <v>0</v>
      </c>
      <c r="I50" s="1162"/>
      <c r="J50" s="1152"/>
      <c r="K50" s="1161"/>
      <c r="W50" s="1082">
        <v>23</v>
      </c>
    </row>
    <row r="51" spans="1:23" ht="11.45" customHeight="1">
      <c r="F51" s="1157" t="s">
        <v>793</v>
      </c>
      <c r="G51" s="1165" t="s">
        <v>1139</v>
      </c>
      <c r="H51" s="1163">
        <f t="shared" si="1"/>
        <v>0</v>
      </c>
      <c r="I51" s="1162"/>
      <c r="J51" s="1152"/>
      <c r="K51" s="1161"/>
      <c r="W51" s="1082">
        <v>11</v>
      </c>
    </row>
    <row r="52" spans="1:23" ht="11.45" customHeight="1">
      <c r="F52" s="1157" t="s">
        <v>1148</v>
      </c>
      <c r="G52" s="1165" t="s">
        <v>1141</v>
      </c>
      <c r="H52" s="1163">
        <f t="shared" si="1"/>
        <v>0</v>
      </c>
      <c r="I52" s="1162"/>
      <c r="J52" s="1152"/>
      <c r="K52" s="1161"/>
      <c r="W52" s="1082">
        <v>11</v>
      </c>
    </row>
    <row r="53" spans="1:23" ht="35.65" customHeight="1">
      <c r="F53" s="1157" t="s">
        <v>1149</v>
      </c>
      <c r="G53" s="1165" t="s">
        <v>1143</v>
      </c>
      <c r="H53" s="1163">
        <f t="shared" si="1"/>
        <v>0</v>
      </c>
      <c r="I53" s="1162"/>
      <c r="J53" s="1152"/>
      <c r="K53" s="1161"/>
      <c r="W53" s="1082">
        <v>34</v>
      </c>
    </row>
    <row r="54" spans="1:23" ht="11.45" customHeight="1">
      <c r="F54" s="1157" t="s">
        <v>387</v>
      </c>
      <c r="G54" s="1164" t="s">
        <v>1128</v>
      </c>
      <c r="H54" s="1163">
        <f t="shared" si="1"/>
        <v>0</v>
      </c>
      <c r="I54" s="1163">
        <f>SUM(I55:I56)</f>
        <v>0</v>
      </c>
      <c r="J54" s="1152"/>
      <c r="K54" s="1161"/>
      <c r="W54" s="1082">
        <v>11</v>
      </c>
    </row>
    <row r="55" spans="1:23" ht="48.2" customHeight="1">
      <c r="F55" s="1157" t="s">
        <v>797</v>
      </c>
      <c r="G55" s="1165" t="s">
        <v>1129</v>
      </c>
      <c r="H55" s="1163">
        <f t="shared" si="1"/>
        <v>0</v>
      </c>
      <c r="I55" s="1162"/>
      <c r="J55" s="1152"/>
      <c r="K55" s="1161"/>
      <c r="W55" s="1082">
        <v>46</v>
      </c>
    </row>
    <row r="56" spans="1:23" ht="11.45" customHeight="1">
      <c r="F56" s="1157" t="s">
        <v>799</v>
      </c>
      <c r="G56" s="1165" t="s">
        <v>1130</v>
      </c>
      <c r="H56" s="1163">
        <f t="shared" si="1"/>
        <v>0</v>
      </c>
      <c r="I56" s="1162"/>
      <c r="J56" s="1152"/>
      <c r="K56" s="1161"/>
      <c r="W56" s="1082">
        <v>11</v>
      </c>
    </row>
    <row r="57" spans="1:23" ht="11.45" customHeight="1">
      <c r="F57" s="1157" t="s">
        <v>390</v>
      </c>
      <c r="G57" s="1164" t="s">
        <v>1146</v>
      </c>
      <c r="H57" s="1163">
        <f t="shared" si="1"/>
        <v>0</v>
      </c>
      <c r="I57" s="1162"/>
      <c r="J57" s="1152"/>
      <c r="K57" s="1161"/>
      <c r="W57" s="1082">
        <v>11</v>
      </c>
    </row>
    <row r="58" spans="1:23" ht="11.45" customHeight="1">
      <c r="F58" s="1157"/>
      <c r="G58" s="1166" t="s">
        <v>1132</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75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05"/>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GC5" s="1799">
        <v>26</v>
      </c>
    </row>
    <row r="6" spans="2:185" s="2003" customFormat="1" ht="18.75" customHeight="1">
      <c r="B6" s="873"/>
      <c r="E6" s="875"/>
      <c r="F6"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78"/>
      <c r="H6" s="2578"/>
      <c r="I6" s="2578"/>
      <c r="J6" s="2578"/>
      <c r="K6" s="2578"/>
      <c r="L6" s="2578"/>
      <c r="M6" s="2578"/>
      <c r="N6" s="2578"/>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740" t="s">
        <v>1150</v>
      </c>
      <c r="P8" s="2741"/>
      <c r="Q8" s="2741"/>
      <c r="R8" s="2741"/>
      <c r="S8" s="2741"/>
      <c r="T8" s="2741"/>
      <c r="U8" s="2741"/>
      <c r="V8" s="2741"/>
      <c r="W8" s="2741"/>
      <c r="X8" s="2741"/>
      <c r="Y8" s="2741"/>
      <c r="Z8" s="2741"/>
      <c r="AA8" s="2741"/>
      <c r="AB8" s="2741"/>
      <c r="AC8" s="2741"/>
      <c r="AD8" s="2741"/>
      <c r="AE8" s="2741"/>
      <c r="AF8" s="2741"/>
      <c r="AG8" s="2741"/>
      <c r="AH8" s="2741"/>
      <c r="AI8" s="2741"/>
      <c r="AJ8" s="2741"/>
      <c r="AK8" s="2741"/>
      <c r="AL8" s="2741"/>
      <c r="AM8" s="2741"/>
      <c r="AN8" s="2741"/>
      <c r="AO8" s="2741"/>
      <c r="AP8" s="2741"/>
      <c r="AQ8" s="2741"/>
      <c r="AR8" s="2741"/>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c r="BP8" s="2741"/>
      <c r="BQ8" s="2741"/>
      <c r="BR8" s="2741"/>
      <c r="BS8" s="2742"/>
      <c r="BT8" s="2743"/>
      <c r="BU8" s="2744"/>
      <c r="BV8" s="2744"/>
      <c r="BW8" s="2744"/>
      <c r="BX8" s="2744"/>
      <c r="BY8" s="2744"/>
      <c r="BZ8" s="2744"/>
      <c r="CA8" s="2744"/>
      <c r="CB8" s="2744"/>
      <c r="CC8" s="2744"/>
      <c r="CD8" s="2744"/>
      <c r="CE8" s="2744"/>
      <c r="CF8" s="2744"/>
      <c r="CG8" s="2744"/>
      <c r="CH8" s="2744"/>
      <c r="CI8" s="2744"/>
      <c r="CJ8" s="2744"/>
      <c r="CK8" s="2744"/>
      <c r="CL8" s="2744"/>
      <c r="CM8" s="2744"/>
      <c r="CN8" s="2744"/>
      <c r="CO8" s="2744"/>
      <c r="CP8" s="2744"/>
      <c r="CQ8" s="2744"/>
      <c r="CR8" s="2744"/>
      <c r="CS8" s="2744"/>
      <c r="CT8" s="2744"/>
      <c r="CU8" s="2744"/>
      <c r="CV8" s="2744"/>
      <c r="CW8" s="2744"/>
      <c r="CX8" s="2745"/>
      <c r="CY8" s="2746"/>
      <c r="CZ8" s="2747"/>
      <c r="DA8" s="2747"/>
      <c r="DB8" s="2747"/>
      <c r="DC8" s="2747"/>
      <c r="DD8" s="2747"/>
      <c r="DE8" s="2747"/>
      <c r="DF8" s="2747"/>
      <c r="DG8" s="2747"/>
      <c r="DH8" s="2747"/>
      <c r="DI8" s="2747"/>
      <c r="DJ8" s="2747"/>
      <c r="DK8" s="2747"/>
      <c r="DL8" s="2747"/>
      <c r="DM8" s="2747"/>
      <c r="DN8" s="2747"/>
      <c r="DO8" s="2747"/>
      <c r="DP8" s="2747"/>
      <c r="DQ8" s="2747"/>
      <c r="DR8" s="2747"/>
      <c r="DS8" s="2747"/>
      <c r="DT8" s="2747"/>
      <c r="DU8" s="2747"/>
      <c r="DV8" s="2747"/>
      <c r="DW8" s="2747"/>
      <c r="DX8" s="2748"/>
      <c r="DY8" s="2734" t="s">
        <v>1151</v>
      </c>
      <c r="DZ8" s="2735"/>
      <c r="EA8" s="2735"/>
      <c r="EB8" s="2735"/>
      <c r="EC8" s="2735"/>
      <c r="ED8" s="2735"/>
      <c r="EE8" s="2735"/>
      <c r="EF8" s="2735"/>
      <c r="EG8" s="2735"/>
      <c r="EH8" s="2735"/>
      <c r="EI8" s="2735"/>
      <c r="EJ8" s="2735"/>
      <c r="EK8" s="2735"/>
      <c r="EL8" s="2735"/>
      <c r="EM8" s="2735"/>
      <c r="EN8" s="2735"/>
      <c r="EO8" s="2735"/>
      <c r="EP8" s="2735"/>
      <c r="EQ8" s="2735"/>
      <c r="ER8" s="2735"/>
      <c r="ES8" s="2735"/>
      <c r="ET8" s="2735"/>
      <c r="EU8" s="2735"/>
      <c r="EV8" s="2735"/>
      <c r="EW8" s="2735"/>
      <c r="EX8" s="2735"/>
      <c r="EY8" s="2735"/>
      <c r="EZ8" s="2735"/>
      <c r="FA8" s="2735"/>
      <c r="FB8" s="2735"/>
      <c r="FC8" s="2735"/>
      <c r="FD8" s="2735"/>
      <c r="FE8" s="2735"/>
      <c r="FF8" s="2735"/>
      <c r="FG8" s="2735"/>
      <c r="FH8" s="2735"/>
      <c r="FI8" s="2735"/>
      <c r="FJ8" s="2735"/>
      <c r="FK8" s="2735"/>
      <c r="FL8" s="2735"/>
      <c r="FM8" s="2735"/>
      <c r="FN8" s="2735"/>
      <c r="FO8" s="2735"/>
      <c r="FP8" s="2735"/>
      <c r="FQ8" s="2735"/>
      <c r="FR8" s="2735"/>
      <c r="FS8" s="2735"/>
      <c r="FT8" s="2735"/>
      <c r="FU8" s="2735"/>
      <c r="FV8" s="2735"/>
      <c r="FW8" s="273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737"/>
      <c r="FX9" s="986"/>
      <c r="GC9" s="863">
        <v>0</v>
      </c>
    </row>
    <row r="10" spans="2:185" s="863" customFormat="1" ht="11.45" customHeight="1">
      <c r="B10" s="864"/>
      <c r="F10" s="2714" t="s">
        <v>380</v>
      </c>
      <c r="G10" s="2750"/>
      <c r="H10" s="2750"/>
      <c r="I10" s="2750"/>
      <c r="J10" s="2750"/>
      <c r="K10" s="2750"/>
      <c r="L10" s="2750"/>
      <c r="M10" s="2750"/>
      <c r="N10" s="2750"/>
      <c r="O10" s="2750"/>
      <c r="P10" s="2750"/>
      <c r="Q10" s="2750"/>
      <c r="R10" s="2750"/>
      <c r="S10" s="2750"/>
      <c r="T10" s="2750"/>
      <c r="U10" s="2750"/>
      <c r="V10" s="2750"/>
      <c r="W10" s="2750"/>
      <c r="X10" s="2750"/>
      <c r="Y10" s="2750"/>
      <c r="Z10" s="2750"/>
      <c r="AA10" s="2750"/>
      <c r="AB10" s="2750"/>
      <c r="AC10" s="2750"/>
      <c r="AD10" s="2750"/>
      <c r="AE10" s="2750"/>
      <c r="AF10" s="2750"/>
      <c r="AG10" s="2750"/>
      <c r="AH10" s="2750"/>
      <c r="AI10" s="2750"/>
      <c r="AJ10" s="2750"/>
      <c r="AK10" s="2750"/>
      <c r="AL10" s="2750"/>
      <c r="AM10" s="2750"/>
      <c r="AN10" s="2750"/>
      <c r="AO10" s="2750"/>
      <c r="AP10" s="2750"/>
      <c r="AQ10" s="2750"/>
      <c r="AR10" s="2750"/>
      <c r="AS10" s="2750"/>
      <c r="AT10" s="2750"/>
      <c r="AU10" s="2750"/>
      <c r="AV10" s="2750"/>
      <c r="AW10" s="2750"/>
      <c r="AX10" s="2750"/>
      <c r="AY10" s="2750"/>
      <c r="AZ10" s="2750"/>
      <c r="BA10" s="2750"/>
      <c r="BB10" s="2750"/>
      <c r="BC10" s="2750"/>
      <c r="BD10" s="2750"/>
      <c r="BE10" s="2750"/>
      <c r="BF10" s="2750"/>
      <c r="BG10" s="2750"/>
      <c r="BH10" s="2750"/>
      <c r="BI10" s="2750"/>
      <c r="BJ10" s="2750"/>
      <c r="BK10" s="2750"/>
      <c r="BL10" s="2750"/>
      <c r="BM10" s="2750"/>
      <c r="BN10" s="2750"/>
      <c r="BO10" s="2750"/>
      <c r="BP10" s="2750"/>
      <c r="BQ10" s="2750"/>
      <c r="BR10" s="2750"/>
      <c r="BS10" s="2750"/>
      <c r="BT10" s="2750"/>
      <c r="BU10" s="2750"/>
      <c r="BV10" s="2750"/>
      <c r="BW10" s="2750"/>
      <c r="BX10" s="2750"/>
      <c r="BY10" s="2750"/>
      <c r="BZ10" s="2750"/>
      <c r="CA10" s="2750"/>
      <c r="CB10" s="2750"/>
      <c r="CC10" s="2750"/>
      <c r="CD10" s="2750"/>
      <c r="CE10" s="2750"/>
      <c r="CF10" s="2750"/>
      <c r="CG10" s="2750"/>
      <c r="CH10" s="2750"/>
      <c r="CI10" s="2750"/>
      <c r="CJ10" s="2750"/>
      <c r="CK10" s="2750"/>
      <c r="CL10" s="2750"/>
      <c r="CM10" s="2750"/>
      <c r="CN10" s="2750"/>
      <c r="CO10" s="2750"/>
      <c r="CP10" s="2750"/>
      <c r="CQ10" s="2750"/>
      <c r="CR10" s="2750"/>
      <c r="CS10" s="2750"/>
      <c r="CT10" s="2750"/>
      <c r="CU10" s="2750"/>
      <c r="CV10" s="2750"/>
      <c r="CW10" s="2750"/>
      <c r="CX10" s="2750"/>
      <c r="CY10" s="2750"/>
      <c r="CZ10" s="2750"/>
      <c r="DA10" s="2750"/>
      <c r="DB10" s="2750"/>
      <c r="DC10" s="2750"/>
      <c r="DD10" s="2750"/>
      <c r="DE10" s="2750"/>
      <c r="DF10" s="2750"/>
      <c r="DG10" s="2750"/>
      <c r="DH10" s="2750"/>
      <c r="DI10" s="2750"/>
      <c r="DJ10" s="2750"/>
      <c r="DK10" s="2750"/>
      <c r="DL10" s="2750"/>
      <c r="DM10" s="2750"/>
      <c r="DN10" s="2750"/>
      <c r="DO10" s="2750"/>
      <c r="DP10" s="2750"/>
      <c r="DQ10" s="2750"/>
      <c r="DR10" s="2750"/>
      <c r="DS10" s="2750"/>
      <c r="DT10" s="2750"/>
      <c r="DU10" s="2750"/>
      <c r="DV10" s="2750"/>
      <c r="DW10" s="2750"/>
      <c r="DX10" s="2750"/>
      <c r="DY10" s="2750"/>
      <c r="DZ10" s="2750"/>
      <c r="EA10" s="2750"/>
      <c r="EB10" s="2750"/>
      <c r="EC10" s="2750"/>
      <c r="ED10" s="2750"/>
      <c r="EE10" s="2750"/>
      <c r="EF10" s="2750"/>
      <c r="EG10" s="2750"/>
      <c r="EH10" s="2750"/>
      <c r="EI10" s="2750"/>
      <c r="EJ10" s="2750"/>
      <c r="EK10" s="2750"/>
      <c r="EL10" s="2750"/>
      <c r="EM10" s="2750"/>
      <c r="EN10" s="2750"/>
      <c r="EO10" s="2750"/>
      <c r="EP10" s="2750"/>
      <c r="EQ10" s="2750"/>
      <c r="ER10" s="2750"/>
      <c r="ES10" s="2750"/>
      <c r="ET10" s="2750"/>
      <c r="EU10" s="2750"/>
      <c r="EV10" s="2750"/>
      <c r="EW10" s="2750"/>
      <c r="EX10" s="2750"/>
      <c r="EY10" s="2750"/>
      <c r="EZ10" s="2750"/>
      <c r="FA10" s="2750"/>
      <c r="FB10" s="2750"/>
      <c r="FC10" s="2750"/>
      <c r="FD10" s="2750"/>
      <c r="FE10" s="2750"/>
      <c r="FF10" s="2750"/>
      <c r="FG10" s="2750"/>
      <c r="FH10" s="2750"/>
      <c r="FI10" s="2750"/>
      <c r="FJ10" s="2750"/>
      <c r="FK10" s="2750"/>
      <c r="FL10" s="2750"/>
      <c r="FM10" s="2750"/>
      <c r="FN10" s="2750"/>
      <c r="FO10" s="2750"/>
      <c r="FP10" s="2750"/>
      <c r="FQ10" s="2750"/>
      <c r="FR10" s="2750"/>
      <c r="FS10" s="2750"/>
      <c r="FT10" s="2750"/>
      <c r="FU10" s="2750"/>
      <c r="FV10" s="2751"/>
      <c r="FW10" s="2737"/>
      <c r="FX10" s="986"/>
      <c r="GC10" s="863">
        <v>11</v>
      </c>
    </row>
    <row r="11" spans="2:185" ht="12.75" customHeight="1">
      <c r="E11" s="867"/>
      <c r="F11" s="2559" t="s">
        <v>88</v>
      </c>
      <c r="G11" s="2559" t="s">
        <v>1152</v>
      </c>
      <c r="H11" s="2559" t="s">
        <v>1153</v>
      </c>
      <c r="I11" s="2559" t="s">
        <v>1154</v>
      </c>
      <c r="J11" s="2749"/>
      <c r="K11" s="2749"/>
      <c r="L11" s="2749"/>
      <c r="M11" s="2749"/>
      <c r="N11" s="2749"/>
      <c r="O11" s="2563" t="s">
        <v>1155</v>
      </c>
      <c r="P11" s="2563"/>
      <c r="Q11" s="2563"/>
      <c r="R11" s="2563"/>
      <c r="S11" s="2563"/>
      <c r="T11" s="2563"/>
      <c r="U11" s="2563"/>
      <c r="V11" s="2563"/>
      <c r="W11" s="2563"/>
      <c r="X11" s="2563"/>
      <c r="Y11" s="2563"/>
      <c r="Z11" s="2563"/>
      <c r="AA11" s="2563"/>
      <c r="AB11" s="2563"/>
      <c r="AC11" s="2732"/>
      <c r="AD11" s="2732"/>
      <c r="AE11" s="2732"/>
      <c r="AF11" s="2732"/>
      <c r="AG11" s="2732"/>
      <c r="AH11" s="2732"/>
      <c r="AI11" s="2732"/>
      <c r="AJ11" s="2732"/>
      <c r="AK11" s="2732"/>
      <c r="AL11" s="2732"/>
      <c r="AM11" s="2732"/>
      <c r="AN11" s="2732"/>
      <c r="AO11" s="2732"/>
      <c r="AP11" s="2732"/>
      <c r="AQ11" s="2732"/>
      <c r="AR11" s="2732"/>
      <c r="AS11" s="2732"/>
      <c r="AT11" s="2732"/>
      <c r="AU11" s="2732"/>
      <c r="AV11" s="2732"/>
      <c r="AW11" s="2732"/>
      <c r="AX11" s="2732"/>
      <c r="AY11" s="2732"/>
      <c r="AZ11" s="2732"/>
      <c r="BA11" s="2732"/>
      <c r="BB11" s="2732"/>
      <c r="BC11" s="2732"/>
      <c r="BD11" s="2732"/>
      <c r="BE11" s="2732"/>
      <c r="BF11" s="2732"/>
      <c r="BG11" s="2732"/>
      <c r="BH11" s="2732"/>
      <c r="BI11" s="2732"/>
      <c r="BJ11" s="2732"/>
      <c r="BK11" s="2732"/>
      <c r="BL11" s="2732"/>
      <c r="BM11" s="2732"/>
      <c r="BN11" s="2732"/>
      <c r="BO11" s="2732"/>
      <c r="BP11" s="2732"/>
      <c r="BQ11" s="2732"/>
      <c r="BR11" s="2732"/>
      <c r="BS11" s="2733"/>
      <c r="BT11" s="2700" t="s">
        <v>1155</v>
      </c>
      <c r="BU11" s="2701"/>
      <c r="BV11" s="2701"/>
      <c r="BW11" s="2701"/>
      <c r="BX11" s="2701"/>
      <c r="BY11" s="2701"/>
      <c r="BZ11" s="2701"/>
      <c r="CA11" s="2701"/>
      <c r="CB11" s="2701"/>
      <c r="CC11" s="2701"/>
      <c r="CD11" s="2701"/>
      <c r="CE11" s="2701"/>
      <c r="CF11" s="2701"/>
      <c r="CG11" s="2701"/>
      <c r="CH11" s="2701"/>
      <c r="CI11" s="2701"/>
      <c r="CJ11" s="2701"/>
      <c r="CK11" s="2731"/>
      <c r="CL11" s="2739"/>
      <c r="CM11" s="2732"/>
      <c r="CN11" s="2732"/>
      <c r="CO11" s="2732"/>
      <c r="CP11" s="2732"/>
      <c r="CQ11" s="2732"/>
      <c r="CR11" s="2732"/>
      <c r="CS11" s="2732"/>
      <c r="CT11" s="2732"/>
      <c r="CU11" s="2732"/>
      <c r="CV11" s="2732"/>
      <c r="CW11" s="2732"/>
      <c r="CX11" s="2733"/>
      <c r="CY11" s="2700" t="s">
        <v>1155</v>
      </c>
      <c r="CZ11" s="2701"/>
      <c r="DA11" s="2701"/>
      <c r="DB11" s="2701"/>
      <c r="DC11" s="2701"/>
      <c r="DD11" s="2701"/>
      <c r="DE11" s="2701"/>
      <c r="DF11" s="2701"/>
      <c r="DG11" s="2701"/>
      <c r="DH11" s="2701"/>
      <c r="DI11" s="2701"/>
      <c r="DJ11" s="2731"/>
      <c r="DK11" s="2739"/>
      <c r="DL11" s="2732"/>
      <c r="DM11" s="2732"/>
      <c r="DN11" s="2732"/>
      <c r="DO11" s="2732"/>
      <c r="DP11" s="2732"/>
      <c r="DQ11" s="2732"/>
      <c r="DR11" s="2732"/>
      <c r="DS11" s="2732"/>
      <c r="DT11" s="2732"/>
      <c r="DU11" s="2732"/>
      <c r="DV11" s="2732"/>
      <c r="DW11" s="2732"/>
      <c r="DX11" s="2732"/>
      <c r="DY11" s="2732"/>
      <c r="DZ11" s="2732"/>
      <c r="EA11" s="2732"/>
      <c r="EB11" s="2732"/>
      <c r="EC11" s="2732"/>
      <c r="ED11" s="2732"/>
      <c r="EE11" s="2732"/>
      <c r="EF11" s="2732"/>
      <c r="EG11" s="2732"/>
      <c r="EH11" s="2732"/>
      <c r="EI11" s="2732"/>
      <c r="EJ11" s="2732"/>
      <c r="EK11" s="2732"/>
      <c r="EL11" s="2732"/>
      <c r="EM11" s="2732"/>
      <c r="EN11" s="2732"/>
      <c r="EO11" s="2732"/>
      <c r="EP11" s="2732"/>
      <c r="EQ11" s="2732"/>
      <c r="ER11" s="2732"/>
      <c r="ES11" s="2732"/>
      <c r="ET11" s="2732"/>
      <c r="EU11" s="2732"/>
      <c r="EV11" s="2732"/>
      <c r="EW11" s="2732"/>
      <c r="EX11" s="2732"/>
      <c r="EY11" s="2732"/>
      <c r="EZ11" s="2732"/>
      <c r="FA11" s="2732"/>
      <c r="FB11" s="2732"/>
      <c r="FC11" s="2732"/>
      <c r="FD11" s="2732"/>
      <c r="FE11" s="2732"/>
      <c r="FF11" s="2732"/>
      <c r="FG11" s="2732"/>
      <c r="FH11" s="2732"/>
      <c r="FI11" s="2732"/>
      <c r="FJ11" s="2732"/>
      <c r="FK11" s="2732"/>
      <c r="FL11" s="2732"/>
      <c r="FM11" s="2732"/>
      <c r="FN11" s="2732"/>
      <c r="FO11" s="2732"/>
      <c r="FP11" s="2732"/>
      <c r="FQ11" s="2732"/>
      <c r="FR11" s="2732"/>
      <c r="FS11" s="2732"/>
      <c r="FT11" s="2732"/>
      <c r="FU11" s="2732"/>
      <c r="FV11" s="2732"/>
      <c r="FW11" s="2737"/>
      <c r="FX11" s="697"/>
      <c r="GC11" s="856">
        <v>12</v>
      </c>
    </row>
    <row r="12" spans="2:185" ht="12.75" customHeight="1">
      <c r="D12" s="868"/>
      <c r="E12" s="867"/>
      <c r="F12" s="2559"/>
      <c r="G12" s="2559"/>
      <c r="H12" s="2559"/>
      <c r="I12" s="2559"/>
      <c r="J12" s="2749"/>
      <c r="K12" s="2749"/>
      <c r="L12" s="2749"/>
      <c r="M12" s="2749"/>
      <c r="N12" s="2749"/>
      <c r="O12" s="2563" t="s">
        <v>1156</v>
      </c>
      <c r="P12" s="2563"/>
      <c r="Q12" s="2563"/>
      <c r="R12" s="2563"/>
      <c r="S12" s="2563" t="s">
        <v>1157</v>
      </c>
      <c r="T12" s="2563"/>
      <c r="U12" s="2563"/>
      <c r="V12" s="2563"/>
      <c r="W12" s="2563"/>
      <c r="X12" s="2563"/>
      <c r="Y12" s="2563"/>
      <c r="Z12" s="2563"/>
      <c r="AA12" s="2563"/>
      <c r="AB12" s="2563"/>
      <c r="AC12" s="2732"/>
      <c r="AD12" s="2732"/>
      <c r="AE12" s="2732"/>
      <c r="AF12" s="2732"/>
      <c r="AG12" s="2732"/>
      <c r="AH12" s="2732"/>
      <c r="AI12" s="2732"/>
      <c r="AJ12" s="2732"/>
      <c r="AK12" s="2732"/>
      <c r="AL12" s="2732"/>
      <c r="AM12" s="2732"/>
      <c r="AN12" s="2732"/>
      <c r="AO12" s="2732"/>
      <c r="AP12" s="2732"/>
      <c r="AQ12" s="2732"/>
      <c r="AR12" s="2732"/>
      <c r="AS12" s="2732"/>
      <c r="AT12" s="2732"/>
      <c r="AU12" s="2732"/>
      <c r="AV12" s="2732"/>
      <c r="AW12" s="2732"/>
      <c r="AX12" s="2732"/>
      <c r="AY12" s="2732"/>
      <c r="AZ12" s="2732"/>
      <c r="BA12" s="2732"/>
      <c r="BB12" s="2732"/>
      <c r="BC12" s="2732"/>
      <c r="BD12" s="2732"/>
      <c r="BE12" s="2732"/>
      <c r="BF12" s="2732"/>
      <c r="BG12" s="2732"/>
      <c r="BH12" s="2732"/>
      <c r="BI12" s="2732"/>
      <c r="BJ12" s="2732"/>
      <c r="BK12" s="2732"/>
      <c r="BL12" s="2732"/>
      <c r="BM12" s="2732"/>
      <c r="BN12" s="2732"/>
      <c r="BO12" s="2732"/>
      <c r="BP12" s="2732"/>
      <c r="BQ12" s="2732"/>
      <c r="BR12" s="2732"/>
      <c r="BS12" s="2733"/>
      <c r="BT12" s="2700" t="s">
        <v>1158</v>
      </c>
      <c r="BU12" s="2701"/>
      <c r="BV12" s="2701"/>
      <c r="BW12" s="2731"/>
      <c r="BX12" s="2700" t="s">
        <v>1159</v>
      </c>
      <c r="BY12" s="2701"/>
      <c r="BZ12" s="2701"/>
      <c r="CA12" s="2731"/>
      <c r="CB12" s="2700" t="s">
        <v>1160</v>
      </c>
      <c r="CC12" s="2731"/>
      <c r="CD12" s="2700" t="s">
        <v>1161</v>
      </c>
      <c r="CE12" s="2701"/>
      <c r="CF12" s="2701"/>
      <c r="CG12" s="2701"/>
      <c r="CH12" s="2701"/>
      <c r="CI12" s="2701"/>
      <c r="CJ12" s="2701"/>
      <c r="CK12" s="2731"/>
      <c r="CL12" s="2739"/>
      <c r="CM12" s="2732"/>
      <c r="CN12" s="2732"/>
      <c r="CO12" s="2732"/>
      <c r="CP12" s="2732"/>
      <c r="CQ12" s="2732"/>
      <c r="CR12" s="2732"/>
      <c r="CS12" s="2732"/>
      <c r="CT12" s="2732"/>
      <c r="CU12" s="2732"/>
      <c r="CV12" s="2732"/>
      <c r="CW12" s="2732"/>
      <c r="CX12" s="2733"/>
      <c r="CY12" s="2700" t="s">
        <v>1162</v>
      </c>
      <c r="CZ12" s="2701"/>
      <c r="DA12" s="2701"/>
      <c r="DB12" s="2701"/>
      <c r="DC12" s="2701"/>
      <c r="DD12" s="2731"/>
      <c r="DE12" s="2700" t="s">
        <v>1163</v>
      </c>
      <c r="DF12" s="2731"/>
      <c r="DG12" s="2700" t="s">
        <v>1161</v>
      </c>
      <c r="DH12" s="2701"/>
      <c r="DI12" s="2701"/>
      <c r="DJ12" s="2731"/>
      <c r="DK12" s="2739"/>
      <c r="DL12" s="2732"/>
      <c r="DM12" s="2732"/>
      <c r="DN12" s="2732"/>
      <c r="DO12" s="2732"/>
      <c r="DP12" s="2732"/>
      <c r="DQ12" s="2732"/>
      <c r="DR12" s="2732"/>
      <c r="DS12" s="2732"/>
      <c r="DT12" s="2732"/>
      <c r="DU12" s="2732"/>
      <c r="DV12" s="2732"/>
      <c r="DW12" s="2732"/>
      <c r="DX12" s="2732"/>
      <c r="DY12" s="2732"/>
      <c r="DZ12" s="2732"/>
      <c r="EA12" s="2732"/>
      <c r="EB12" s="2732"/>
      <c r="EC12" s="2732"/>
      <c r="ED12" s="2732"/>
      <c r="EE12" s="2732"/>
      <c r="EF12" s="2732"/>
      <c r="EG12" s="2732"/>
      <c r="EH12" s="2732"/>
      <c r="EI12" s="2732"/>
      <c r="EJ12" s="2732"/>
      <c r="EK12" s="2732"/>
      <c r="EL12" s="2732"/>
      <c r="EM12" s="2732"/>
      <c r="EN12" s="2732"/>
      <c r="EO12" s="2732"/>
      <c r="EP12" s="2732"/>
      <c r="EQ12" s="2732"/>
      <c r="ER12" s="2732"/>
      <c r="ES12" s="2732"/>
      <c r="ET12" s="2732"/>
      <c r="EU12" s="2732"/>
      <c r="EV12" s="2732"/>
      <c r="EW12" s="2732"/>
      <c r="EX12" s="2732"/>
      <c r="EY12" s="2732"/>
      <c r="EZ12" s="2732"/>
      <c r="FA12" s="2732"/>
      <c r="FB12" s="2732"/>
      <c r="FC12" s="2732"/>
      <c r="FD12" s="2732"/>
      <c r="FE12" s="2732"/>
      <c r="FF12" s="2732"/>
      <c r="FG12" s="2732"/>
      <c r="FH12" s="2732"/>
      <c r="FI12" s="2732"/>
      <c r="FJ12" s="2732"/>
      <c r="FK12" s="2732"/>
      <c r="FL12" s="2732"/>
      <c r="FM12" s="2732"/>
      <c r="FN12" s="2732"/>
      <c r="FO12" s="2732"/>
      <c r="FP12" s="2732"/>
      <c r="FQ12" s="2732"/>
      <c r="FR12" s="2732"/>
      <c r="FS12" s="2732"/>
      <c r="FT12" s="2732"/>
      <c r="FU12" s="2732"/>
      <c r="FV12" s="2732"/>
      <c r="FW12" s="2737"/>
      <c r="FX12" s="697"/>
      <c r="GC12" s="856">
        <v>12</v>
      </c>
    </row>
    <row r="13" spans="2:185" ht="37.9" customHeight="1">
      <c r="D13" s="868"/>
      <c r="E13" s="867"/>
      <c r="F13" s="2559"/>
      <c r="G13" s="2559"/>
      <c r="H13" s="2559"/>
      <c r="I13" s="2559"/>
      <c r="J13" s="2749"/>
      <c r="K13" s="2749"/>
      <c r="L13" s="2749"/>
      <c r="M13" s="2749"/>
      <c r="N13" s="2749"/>
      <c r="O13" s="2563" t="s">
        <v>1164</v>
      </c>
      <c r="P13" s="2563"/>
      <c r="Q13" s="2563"/>
      <c r="R13" s="2563"/>
      <c r="S13" s="2663" t="s">
        <v>1165</v>
      </c>
      <c r="T13" s="2702"/>
      <c r="U13" s="2461" t="s">
        <v>1166</v>
      </c>
      <c r="V13" s="2461"/>
      <c r="W13" s="2461"/>
      <c r="X13" s="2461"/>
      <c r="Y13" s="2461" t="s">
        <v>1167</v>
      </c>
      <c r="Z13" s="2461"/>
      <c r="AA13" s="2461"/>
      <c r="AB13" s="2461"/>
      <c r="AC13" s="2732"/>
      <c r="AD13" s="2732"/>
      <c r="AE13" s="2732"/>
      <c r="AF13" s="2732"/>
      <c r="AG13" s="2732"/>
      <c r="AH13" s="2732"/>
      <c r="AI13" s="2732"/>
      <c r="AJ13" s="2732"/>
      <c r="AK13" s="2732"/>
      <c r="AL13" s="2732"/>
      <c r="AM13" s="2732"/>
      <c r="AN13" s="2732"/>
      <c r="AO13" s="2732"/>
      <c r="AP13" s="2732"/>
      <c r="AQ13" s="2732"/>
      <c r="AR13" s="2732"/>
      <c r="AS13" s="2732"/>
      <c r="AT13" s="2732"/>
      <c r="AU13" s="2732"/>
      <c r="AV13" s="2732"/>
      <c r="AW13" s="2732"/>
      <c r="AX13" s="2732"/>
      <c r="AY13" s="2732"/>
      <c r="AZ13" s="2732"/>
      <c r="BA13" s="2732"/>
      <c r="BB13" s="2732"/>
      <c r="BC13" s="2732"/>
      <c r="BD13" s="2732"/>
      <c r="BE13" s="2732"/>
      <c r="BF13" s="2732"/>
      <c r="BG13" s="2732"/>
      <c r="BH13" s="2732"/>
      <c r="BI13" s="2732"/>
      <c r="BJ13" s="2732"/>
      <c r="BK13" s="2732"/>
      <c r="BL13" s="2732"/>
      <c r="BM13" s="2732"/>
      <c r="BN13" s="2732"/>
      <c r="BO13" s="2732"/>
      <c r="BP13" s="2732"/>
      <c r="BQ13" s="2732"/>
      <c r="BR13" s="2732"/>
      <c r="BS13" s="2733"/>
      <c r="BT13" s="2663" t="s">
        <v>1168</v>
      </c>
      <c r="BU13" s="2702"/>
      <c r="BV13" s="2663" t="s">
        <v>1169</v>
      </c>
      <c r="BW13" s="2702"/>
      <c r="BX13" s="2663" t="s">
        <v>1170</v>
      </c>
      <c r="BY13" s="2702"/>
      <c r="BZ13" s="2663" t="s">
        <v>1171</v>
      </c>
      <c r="CA13" s="2702"/>
      <c r="CB13" s="2663" t="s">
        <v>1172</v>
      </c>
      <c r="CC13" s="2702"/>
      <c r="CD13" s="2663" t="s">
        <v>1173</v>
      </c>
      <c r="CE13" s="2702"/>
      <c r="CF13" s="2663" t="s">
        <v>1174</v>
      </c>
      <c r="CG13" s="2702"/>
      <c r="CH13" s="2700" t="s">
        <v>1175</v>
      </c>
      <c r="CI13" s="2701"/>
      <c r="CJ13" s="2701"/>
      <c r="CK13" s="2731"/>
      <c r="CL13" s="2739"/>
      <c r="CM13" s="2732"/>
      <c r="CN13" s="2732"/>
      <c r="CO13" s="2732"/>
      <c r="CP13" s="2732"/>
      <c r="CQ13" s="2732"/>
      <c r="CR13" s="2732"/>
      <c r="CS13" s="2732"/>
      <c r="CT13" s="2732"/>
      <c r="CU13" s="2732"/>
      <c r="CV13" s="2732"/>
      <c r="CW13" s="2732"/>
      <c r="CX13" s="2733"/>
      <c r="CY13" s="2663" t="s">
        <v>1176</v>
      </c>
      <c r="CZ13" s="2702"/>
      <c r="DA13" s="2663" t="s">
        <v>1177</v>
      </c>
      <c r="DB13" s="2702"/>
      <c r="DC13" s="2663" t="s">
        <v>1178</v>
      </c>
      <c r="DD13" s="2702"/>
      <c r="DE13" s="2663" t="s">
        <v>1179</v>
      </c>
      <c r="DF13" s="2702"/>
      <c r="DG13" s="2700" t="s">
        <v>1180</v>
      </c>
      <c r="DH13" s="2701"/>
      <c r="DI13" s="2701"/>
      <c r="DJ13" s="2731"/>
      <c r="DK13" s="2739"/>
      <c r="DL13" s="2732"/>
      <c r="DM13" s="2732"/>
      <c r="DN13" s="2732"/>
      <c r="DO13" s="2732"/>
      <c r="DP13" s="2732"/>
      <c r="DQ13" s="2732"/>
      <c r="DR13" s="2732"/>
      <c r="DS13" s="2732"/>
      <c r="DT13" s="2732"/>
      <c r="DU13" s="2732"/>
      <c r="DV13" s="2732"/>
      <c r="DW13" s="2732"/>
      <c r="DX13" s="2732"/>
      <c r="DY13" s="2732"/>
      <c r="DZ13" s="2732"/>
      <c r="EA13" s="2732"/>
      <c r="EB13" s="2732"/>
      <c r="EC13" s="2732"/>
      <c r="ED13" s="2732"/>
      <c r="EE13" s="2732"/>
      <c r="EF13" s="2732"/>
      <c r="EG13" s="2732"/>
      <c r="EH13" s="2732"/>
      <c r="EI13" s="2732"/>
      <c r="EJ13" s="2732"/>
      <c r="EK13" s="2732"/>
      <c r="EL13" s="2732"/>
      <c r="EM13" s="2732"/>
      <c r="EN13" s="2732"/>
      <c r="EO13" s="2732"/>
      <c r="EP13" s="2732"/>
      <c r="EQ13" s="2732"/>
      <c r="ER13" s="2732"/>
      <c r="ES13" s="2732"/>
      <c r="ET13" s="2732"/>
      <c r="EU13" s="2732"/>
      <c r="EV13" s="2732"/>
      <c r="EW13" s="2732"/>
      <c r="EX13" s="2732"/>
      <c r="EY13" s="2732"/>
      <c r="EZ13" s="2732"/>
      <c r="FA13" s="2732"/>
      <c r="FB13" s="2732"/>
      <c r="FC13" s="2732"/>
      <c r="FD13" s="2732"/>
      <c r="FE13" s="2732"/>
      <c r="FF13" s="2732"/>
      <c r="FG13" s="2732"/>
      <c r="FH13" s="2732"/>
      <c r="FI13" s="2732"/>
      <c r="FJ13" s="2732"/>
      <c r="FK13" s="2732"/>
      <c r="FL13" s="2732"/>
      <c r="FM13" s="2732"/>
      <c r="FN13" s="2732"/>
      <c r="FO13" s="2732"/>
      <c r="FP13" s="2732"/>
      <c r="FQ13" s="2732"/>
      <c r="FR13" s="2732"/>
      <c r="FS13" s="2732"/>
      <c r="FT13" s="2732"/>
      <c r="FU13" s="2732"/>
      <c r="FV13" s="2732"/>
      <c r="FW13" s="2737"/>
      <c r="FX13" s="697"/>
      <c r="GC13" s="856">
        <v>36</v>
      </c>
    </row>
    <row r="14" spans="2:185" ht="37.9" customHeight="1">
      <c r="D14" s="868"/>
      <c r="E14" s="867"/>
      <c r="F14" s="2559"/>
      <c r="G14" s="2559"/>
      <c r="H14" s="2559"/>
      <c r="I14" s="2559"/>
      <c r="J14" s="2749"/>
      <c r="K14" s="2749"/>
      <c r="L14" s="2749"/>
      <c r="M14" s="2749"/>
      <c r="N14" s="2749"/>
      <c r="O14" s="2663" t="s">
        <v>1181</v>
      </c>
      <c r="P14" s="2702"/>
      <c r="Q14" s="2663" t="s">
        <v>1182</v>
      </c>
      <c r="R14" s="2702"/>
      <c r="S14" s="2664"/>
      <c r="T14" s="2567"/>
      <c r="U14" s="2663" t="s">
        <v>914</v>
      </c>
      <c r="V14" s="2702"/>
      <c r="W14" s="2663" t="s">
        <v>917</v>
      </c>
      <c r="X14" s="2702"/>
      <c r="Y14" s="2663" t="s">
        <v>914</v>
      </c>
      <c r="Z14" s="2702"/>
      <c r="AA14" s="2663" t="s">
        <v>924</v>
      </c>
      <c r="AB14" s="2702"/>
      <c r="AC14" s="2732"/>
      <c r="AD14" s="2732"/>
      <c r="AE14" s="2732"/>
      <c r="AF14" s="2732"/>
      <c r="AG14" s="2732"/>
      <c r="AH14" s="2732"/>
      <c r="AI14" s="2732"/>
      <c r="AJ14" s="2732"/>
      <c r="AK14" s="2732"/>
      <c r="AL14" s="2732"/>
      <c r="AM14" s="2732"/>
      <c r="AN14" s="2732"/>
      <c r="AO14" s="2732"/>
      <c r="AP14" s="2732"/>
      <c r="AQ14" s="2732"/>
      <c r="AR14" s="2732"/>
      <c r="AS14" s="2732"/>
      <c r="AT14" s="2732"/>
      <c r="AU14" s="2732"/>
      <c r="AV14" s="2732"/>
      <c r="AW14" s="2732"/>
      <c r="AX14" s="2732"/>
      <c r="AY14" s="2732"/>
      <c r="AZ14" s="2732"/>
      <c r="BA14" s="2732"/>
      <c r="BB14" s="2732"/>
      <c r="BC14" s="2732"/>
      <c r="BD14" s="2732"/>
      <c r="BE14" s="2732"/>
      <c r="BF14" s="2732"/>
      <c r="BG14" s="2732"/>
      <c r="BH14" s="2732"/>
      <c r="BI14" s="2732"/>
      <c r="BJ14" s="2732"/>
      <c r="BK14" s="2732"/>
      <c r="BL14" s="2732"/>
      <c r="BM14" s="2732"/>
      <c r="BN14" s="2732"/>
      <c r="BO14" s="2732"/>
      <c r="BP14" s="2732"/>
      <c r="BQ14" s="2732"/>
      <c r="BR14" s="2732"/>
      <c r="BS14" s="2733"/>
      <c r="BT14" s="2664"/>
      <c r="BU14" s="2567"/>
      <c r="BV14" s="2664"/>
      <c r="BW14" s="2567"/>
      <c r="BX14" s="2664"/>
      <c r="BY14" s="2567"/>
      <c r="BZ14" s="2664"/>
      <c r="CA14" s="2567"/>
      <c r="CB14" s="2664"/>
      <c r="CC14" s="2567"/>
      <c r="CD14" s="2664"/>
      <c r="CE14" s="2567"/>
      <c r="CF14" s="2664"/>
      <c r="CG14" s="2567"/>
      <c r="CH14" s="2663" t="s">
        <v>1183</v>
      </c>
      <c r="CI14" s="2702"/>
      <c r="CJ14" s="2663" t="s">
        <v>1184</v>
      </c>
      <c r="CK14" s="2702"/>
      <c r="CL14" s="2739"/>
      <c r="CM14" s="2732"/>
      <c r="CN14" s="2732"/>
      <c r="CO14" s="2732"/>
      <c r="CP14" s="2732"/>
      <c r="CQ14" s="2732"/>
      <c r="CR14" s="2732"/>
      <c r="CS14" s="2732"/>
      <c r="CT14" s="2732"/>
      <c r="CU14" s="2732"/>
      <c r="CV14" s="2732"/>
      <c r="CW14" s="2732"/>
      <c r="CX14" s="2733"/>
      <c r="CY14" s="2664"/>
      <c r="CZ14" s="2567"/>
      <c r="DA14" s="2664"/>
      <c r="DB14" s="2567"/>
      <c r="DC14" s="2664"/>
      <c r="DD14" s="2567"/>
      <c r="DE14" s="2664"/>
      <c r="DF14" s="2567"/>
      <c r="DG14" s="2663" t="s">
        <v>1185</v>
      </c>
      <c r="DH14" s="2702"/>
      <c r="DI14" s="2663" t="s">
        <v>1186</v>
      </c>
      <c r="DJ14" s="2702"/>
      <c r="DK14" s="2739"/>
      <c r="DL14" s="2732"/>
      <c r="DM14" s="2732"/>
      <c r="DN14" s="2732"/>
      <c r="DO14" s="2732"/>
      <c r="DP14" s="2732"/>
      <c r="DQ14" s="2732"/>
      <c r="DR14" s="2732"/>
      <c r="DS14" s="2732"/>
      <c r="DT14" s="2732"/>
      <c r="DU14" s="2732"/>
      <c r="DV14" s="2732"/>
      <c r="DW14" s="2732"/>
      <c r="DX14" s="2732"/>
      <c r="DY14" s="2732"/>
      <c r="DZ14" s="2732"/>
      <c r="EA14" s="2732"/>
      <c r="EB14" s="2732"/>
      <c r="EC14" s="2732"/>
      <c r="ED14" s="2732"/>
      <c r="EE14" s="2732"/>
      <c r="EF14" s="2732"/>
      <c r="EG14" s="2732"/>
      <c r="EH14" s="2732"/>
      <c r="EI14" s="2732"/>
      <c r="EJ14" s="2732"/>
      <c r="EK14" s="2732"/>
      <c r="EL14" s="2732"/>
      <c r="EM14" s="2732"/>
      <c r="EN14" s="2732"/>
      <c r="EO14" s="2732"/>
      <c r="EP14" s="2732"/>
      <c r="EQ14" s="2732"/>
      <c r="ER14" s="2732"/>
      <c r="ES14" s="2732"/>
      <c r="ET14" s="2732"/>
      <c r="EU14" s="2732"/>
      <c r="EV14" s="2732"/>
      <c r="EW14" s="2732"/>
      <c r="EX14" s="2732"/>
      <c r="EY14" s="2732"/>
      <c r="EZ14" s="2732"/>
      <c r="FA14" s="2732"/>
      <c r="FB14" s="2732"/>
      <c r="FC14" s="2732"/>
      <c r="FD14" s="2732"/>
      <c r="FE14" s="2732"/>
      <c r="FF14" s="2732"/>
      <c r="FG14" s="2732"/>
      <c r="FH14" s="2732"/>
      <c r="FI14" s="2732"/>
      <c r="FJ14" s="2732"/>
      <c r="FK14" s="2732"/>
      <c r="FL14" s="2732"/>
      <c r="FM14" s="2732"/>
      <c r="FN14" s="2732"/>
      <c r="FO14" s="2732"/>
      <c r="FP14" s="2732"/>
      <c r="FQ14" s="2732"/>
      <c r="FR14" s="2732"/>
      <c r="FS14" s="2732"/>
      <c r="FT14" s="2732"/>
      <c r="FU14" s="2732"/>
      <c r="FV14" s="2732"/>
      <c r="FW14" s="2737"/>
      <c r="FX14" s="697"/>
      <c r="GC14" s="856">
        <v>36</v>
      </c>
    </row>
    <row r="15" spans="2:185" ht="37.9" customHeight="1">
      <c r="D15" s="868"/>
      <c r="E15" s="867"/>
      <c r="F15" s="2559"/>
      <c r="G15" s="2559"/>
      <c r="H15" s="2559"/>
      <c r="I15" s="2559"/>
      <c r="J15" s="2749"/>
      <c r="K15" s="2749"/>
      <c r="L15" s="2749"/>
      <c r="M15" s="2749"/>
      <c r="N15" s="2749"/>
      <c r="O15" s="2665"/>
      <c r="P15" s="2718"/>
      <c r="Q15" s="2665"/>
      <c r="R15" s="2718"/>
      <c r="S15" s="2665"/>
      <c r="T15" s="2718"/>
      <c r="U15" s="2665"/>
      <c r="V15" s="2718"/>
      <c r="W15" s="2665"/>
      <c r="X15" s="2718"/>
      <c r="Y15" s="2665"/>
      <c r="Z15" s="2718"/>
      <c r="AA15" s="2665"/>
      <c r="AB15" s="2718"/>
      <c r="AC15" s="2732"/>
      <c r="AD15" s="2732"/>
      <c r="AE15" s="2732"/>
      <c r="AF15" s="2732"/>
      <c r="AG15" s="2732"/>
      <c r="AH15" s="2732"/>
      <c r="AI15" s="2732"/>
      <c r="AJ15" s="2732"/>
      <c r="AK15" s="2732"/>
      <c r="AL15" s="2732"/>
      <c r="AM15" s="2732"/>
      <c r="AN15" s="2732"/>
      <c r="AO15" s="2732"/>
      <c r="AP15" s="2732"/>
      <c r="AQ15" s="2732"/>
      <c r="AR15" s="2732"/>
      <c r="AS15" s="2732"/>
      <c r="AT15" s="2732"/>
      <c r="AU15" s="2732"/>
      <c r="AV15" s="2732"/>
      <c r="AW15" s="2732"/>
      <c r="AX15" s="2732"/>
      <c r="AY15" s="2732"/>
      <c r="AZ15" s="2732"/>
      <c r="BA15" s="2732"/>
      <c r="BB15" s="2732"/>
      <c r="BC15" s="2732"/>
      <c r="BD15" s="2732"/>
      <c r="BE15" s="2732"/>
      <c r="BF15" s="2732"/>
      <c r="BG15" s="2732"/>
      <c r="BH15" s="2732"/>
      <c r="BI15" s="2732"/>
      <c r="BJ15" s="2732"/>
      <c r="BK15" s="2732"/>
      <c r="BL15" s="2732"/>
      <c r="BM15" s="2732"/>
      <c r="BN15" s="2732"/>
      <c r="BO15" s="2732"/>
      <c r="BP15" s="2732"/>
      <c r="BQ15" s="2732"/>
      <c r="BR15" s="2732"/>
      <c r="BS15" s="2733"/>
      <c r="BT15" s="2665"/>
      <c r="BU15" s="2718"/>
      <c r="BV15" s="2665"/>
      <c r="BW15" s="2718"/>
      <c r="BX15" s="2665"/>
      <c r="BY15" s="2718"/>
      <c r="BZ15" s="2665"/>
      <c r="CA15" s="2718"/>
      <c r="CB15" s="2665"/>
      <c r="CC15" s="2718"/>
      <c r="CD15" s="2665"/>
      <c r="CE15" s="2718"/>
      <c r="CF15" s="2665"/>
      <c r="CG15" s="2718"/>
      <c r="CH15" s="2665"/>
      <c r="CI15" s="2718"/>
      <c r="CJ15" s="2665"/>
      <c r="CK15" s="2718"/>
      <c r="CL15" s="2739"/>
      <c r="CM15" s="2732"/>
      <c r="CN15" s="2732"/>
      <c r="CO15" s="2732"/>
      <c r="CP15" s="2732"/>
      <c r="CQ15" s="2732"/>
      <c r="CR15" s="2732"/>
      <c r="CS15" s="2732"/>
      <c r="CT15" s="2732"/>
      <c r="CU15" s="2732"/>
      <c r="CV15" s="2732"/>
      <c r="CW15" s="2732"/>
      <c r="CX15" s="2733"/>
      <c r="CY15" s="2665"/>
      <c r="CZ15" s="2718"/>
      <c r="DA15" s="2665"/>
      <c r="DB15" s="2718"/>
      <c r="DC15" s="2665"/>
      <c r="DD15" s="2718"/>
      <c r="DE15" s="2665"/>
      <c r="DF15" s="2718"/>
      <c r="DG15" s="2665"/>
      <c r="DH15" s="2718"/>
      <c r="DI15" s="2665"/>
      <c r="DJ15" s="2718"/>
      <c r="DK15" s="2739"/>
      <c r="DL15" s="2732"/>
      <c r="DM15" s="2732"/>
      <c r="DN15" s="2732"/>
      <c r="DO15" s="2732"/>
      <c r="DP15" s="2732"/>
      <c r="DQ15" s="2732"/>
      <c r="DR15" s="2732"/>
      <c r="DS15" s="2732"/>
      <c r="DT15" s="2732"/>
      <c r="DU15" s="2732"/>
      <c r="DV15" s="2732"/>
      <c r="DW15" s="2732"/>
      <c r="DX15" s="2732"/>
      <c r="DY15" s="2732"/>
      <c r="DZ15" s="2732"/>
      <c r="EA15" s="2732"/>
      <c r="EB15" s="2732"/>
      <c r="EC15" s="2732"/>
      <c r="ED15" s="2732"/>
      <c r="EE15" s="2732"/>
      <c r="EF15" s="2732"/>
      <c r="EG15" s="2732"/>
      <c r="EH15" s="2732"/>
      <c r="EI15" s="2732"/>
      <c r="EJ15" s="2732"/>
      <c r="EK15" s="2732"/>
      <c r="EL15" s="2732"/>
      <c r="EM15" s="2732"/>
      <c r="EN15" s="2732"/>
      <c r="EO15" s="2732"/>
      <c r="EP15" s="2732"/>
      <c r="EQ15" s="2732"/>
      <c r="ER15" s="2732"/>
      <c r="ES15" s="2732"/>
      <c r="ET15" s="2732"/>
      <c r="EU15" s="2732"/>
      <c r="EV15" s="2732"/>
      <c r="EW15" s="2732"/>
      <c r="EX15" s="2732"/>
      <c r="EY15" s="2732"/>
      <c r="EZ15" s="2732"/>
      <c r="FA15" s="2732"/>
      <c r="FB15" s="2732"/>
      <c r="FC15" s="2732"/>
      <c r="FD15" s="2732"/>
      <c r="FE15" s="2732"/>
      <c r="FF15" s="2732"/>
      <c r="FG15" s="2732"/>
      <c r="FH15" s="2732"/>
      <c r="FI15" s="2732"/>
      <c r="FJ15" s="2732"/>
      <c r="FK15" s="2732"/>
      <c r="FL15" s="2732"/>
      <c r="FM15" s="2732"/>
      <c r="FN15" s="2732"/>
      <c r="FO15" s="2732"/>
      <c r="FP15" s="2732"/>
      <c r="FQ15" s="2732"/>
      <c r="FR15" s="2732"/>
      <c r="FS15" s="2732"/>
      <c r="FT15" s="2732"/>
      <c r="FU15" s="2732"/>
      <c r="FV15" s="2732"/>
      <c r="FW15" s="2737"/>
      <c r="FX15" s="697"/>
      <c r="GC15" s="856">
        <v>36</v>
      </c>
    </row>
    <row r="16" spans="2:185" ht="12.75" customHeight="1">
      <c r="D16" s="868"/>
      <c r="E16" s="867"/>
      <c r="F16" s="2559"/>
      <c r="G16" s="2559"/>
      <c r="H16" s="2559"/>
      <c r="I16" s="2559"/>
      <c r="J16" s="2749"/>
      <c r="K16" s="2749"/>
      <c r="L16" s="2749"/>
      <c r="M16" s="2749"/>
      <c r="N16" s="2749"/>
      <c r="O16" s="2700" t="s">
        <v>904</v>
      </c>
      <c r="P16" s="2731"/>
      <c r="Q16" s="2700" t="s">
        <v>906</v>
      </c>
      <c r="R16" s="2731"/>
      <c r="S16" s="2700" t="s">
        <v>910</v>
      </c>
      <c r="T16" s="2731"/>
      <c r="U16" s="2700" t="s">
        <v>915</v>
      </c>
      <c r="V16" s="2731"/>
      <c r="W16" s="2700" t="s">
        <v>918</v>
      </c>
      <c r="X16" s="2731"/>
      <c r="Y16" s="2700" t="s">
        <v>922</v>
      </c>
      <c r="Z16" s="2731"/>
      <c r="AA16" s="2700" t="s">
        <v>925</v>
      </c>
      <c r="AB16" s="2731"/>
      <c r="AC16" s="2732"/>
      <c r="AD16" s="2732"/>
      <c r="AE16" s="2732"/>
      <c r="AF16" s="2732"/>
      <c r="AG16" s="2732"/>
      <c r="AH16" s="2732"/>
      <c r="AI16" s="2732"/>
      <c r="AJ16" s="2732"/>
      <c r="AK16" s="2732"/>
      <c r="AL16" s="2732"/>
      <c r="AM16" s="2732"/>
      <c r="AN16" s="2732"/>
      <c r="AO16" s="2732"/>
      <c r="AP16" s="2732"/>
      <c r="AQ16" s="2732"/>
      <c r="AR16" s="2732"/>
      <c r="AS16" s="2732"/>
      <c r="AT16" s="2732"/>
      <c r="AU16" s="2732"/>
      <c r="AV16" s="2732"/>
      <c r="AW16" s="2732"/>
      <c r="AX16" s="2732"/>
      <c r="AY16" s="2732"/>
      <c r="AZ16" s="2732"/>
      <c r="BA16" s="2732"/>
      <c r="BB16" s="2732"/>
      <c r="BC16" s="2732"/>
      <c r="BD16" s="2732"/>
      <c r="BE16" s="2732"/>
      <c r="BF16" s="2732"/>
      <c r="BG16" s="2732"/>
      <c r="BH16" s="2732"/>
      <c r="BI16" s="2732"/>
      <c r="BJ16" s="2732"/>
      <c r="BK16" s="2732"/>
      <c r="BL16" s="2732"/>
      <c r="BM16" s="2732"/>
      <c r="BN16" s="2732"/>
      <c r="BO16" s="2732"/>
      <c r="BP16" s="2732"/>
      <c r="BQ16" s="2732"/>
      <c r="BR16" s="2732"/>
      <c r="BS16" s="2733"/>
      <c r="BT16" s="2700" t="s">
        <v>637</v>
      </c>
      <c r="BU16" s="2731"/>
      <c r="BV16" s="2700" t="s">
        <v>637</v>
      </c>
      <c r="BW16" s="2731"/>
      <c r="BX16" s="2700" t="s">
        <v>637</v>
      </c>
      <c r="BY16" s="2731"/>
      <c r="BZ16" s="2700" t="s">
        <v>637</v>
      </c>
      <c r="CA16" s="2731"/>
      <c r="CB16" s="2700" t="s">
        <v>1187</v>
      </c>
      <c r="CC16" s="2731"/>
      <c r="CD16" s="2700" t="s">
        <v>637</v>
      </c>
      <c r="CE16" s="2731"/>
      <c r="CF16" s="2700" t="s">
        <v>1188</v>
      </c>
      <c r="CG16" s="2731"/>
      <c r="CH16" s="2700" t="s">
        <v>1189</v>
      </c>
      <c r="CI16" s="2731"/>
      <c r="CJ16" s="2700" t="s">
        <v>1189</v>
      </c>
      <c r="CK16" s="2731"/>
      <c r="CL16" s="2739"/>
      <c r="CM16" s="2732"/>
      <c r="CN16" s="2732"/>
      <c r="CO16" s="2732"/>
      <c r="CP16" s="2732"/>
      <c r="CQ16" s="2732"/>
      <c r="CR16" s="2732"/>
      <c r="CS16" s="2732"/>
      <c r="CT16" s="2732"/>
      <c r="CU16" s="2732"/>
      <c r="CV16" s="2732"/>
      <c r="CW16" s="2732"/>
      <c r="CX16" s="2733"/>
      <c r="CY16" s="2663" t="s">
        <v>637</v>
      </c>
      <c r="CZ16" s="2702"/>
      <c r="DA16" s="2663" t="s">
        <v>637</v>
      </c>
      <c r="DB16" s="2702"/>
      <c r="DC16" s="2663" t="s">
        <v>637</v>
      </c>
      <c r="DD16" s="2702"/>
      <c r="DE16" s="2700" t="s">
        <v>1187</v>
      </c>
      <c r="DF16" s="2731"/>
      <c r="DG16" s="2700" t="s">
        <v>1190</v>
      </c>
      <c r="DH16" s="2731"/>
      <c r="DI16" s="2700" t="s">
        <v>1190</v>
      </c>
      <c r="DJ16" s="2731"/>
      <c r="DK16" s="2739"/>
      <c r="DL16" s="2732"/>
      <c r="DM16" s="2732"/>
      <c r="DN16" s="2732"/>
      <c r="DO16" s="2732"/>
      <c r="DP16" s="2732"/>
      <c r="DQ16" s="2732"/>
      <c r="DR16" s="2732"/>
      <c r="DS16" s="2732"/>
      <c r="DT16" s="2732"/>
      <c r="DU16" s="2732"/>
      <c r="DV16" s="2732"/>
      <c r="DW16" s="2732"/>
      <c r="DX16" s="2732"/>
      <c r="DY16" s="2732"/>
      <c r="DZ16" s="2732"/>
      <c r="EA16" s="2732"/>
      <c r="EB16" s="2732"/>
      <c r="EC16" s="2732"/>
      <c r="ED16" s="2732"/>
      <c r="EE16" s="2732"/>
      <c r="EF16" s="2732"/>
      <c r="EG16" s="2732"/>
      <c r="EH16" s="2732"/>
      <c r="EI16" s="2732"/>
      <c r="EJ16" s="2732"/>
      <c r="EK16" s="2732"/>
      <c r="EL16" s="2732"/>
      <c r="EM16" s="2732"/>
      <c r="EN16" s="2732"/>
      <c r="EO16" s="2732"/>
      <c r="EP16" s="2732"/>
      <c r="EQ16" s="2732"/>
      <c r="ER16" s="2732"/>
      <c r="ES16" s="2732"/>
      <c r="ET16" s="2732"/>
      <c r="EU16" s="2732"/>
      <c r="EV16" s="2732"/>
      <c r="EW16" s="2732"/>
      <c r="EX16" s="2732"/>
      <c r="EY16" s="2732"/>
      <c r="EZ16" s="2732"/>
      <c r="FA16" s="2732"/>
      <c r="FB16" s="2732"/>
      <c r="FC16" s="2732"/>
      <c r="FD16" s="2732"/>
      <c r="FE16" s="2732"/>
      <c r="FF16" s="2732"/>
      <c r="FG16" s="2732"/>
      <c r="FH16" s="2732"/>
      <c r="FI16" s="2732"/>
      <c r="FJ16" s="2732"/>
      <c r="FK16" s="2732"/>
      <c r="FL16" s="2732"/>
      <c r="FM16" s="2732"/>
      <c r="FN16" s="2732"/>
      <c r="FO16" s="2732"/>
      <c r="FP16" s="2732"/>
      <c r="FQ16" s="2732"/>
      <c r="FR16" s="2732"/>
      <c r="FS16" s="2732"/>
      <c r="FT16" s="2732"/>
      <c r="FU16" s="2732"/>
      <c r="FV16" s="2732"/>
      <c r="FW16" s="2737"/>
      <c r="FX16" s="697"/>
      <c r="GC16" s="856">
        <v>12</v>
      </c>
    </row>
    <row r="17" spans="1:185" ht="15.75" customHeight="1">
      <c r="E17" s="867"/>
      <c r="F17" s="2559"/>
      <c r="G17" s="2559"/>
      <c r="H17" s="2559"/>
      <c r="I17" s="2559"/>
      <c r="J17" s="2749"/>
      <c r="K17" s="2749"/>
      <c r="L17" s="2749"/>
      <c r="M17" s="2749"/>
      <c r="N17" s="2749"/>
      <c r="O17" s="1118" t="s">
        <v>1191</v>
      </c>
      <c r="P17" s="1118" t="s">
        <v>1192</v>
      </c>
      <c r="Q17" s="1118" t="s">
        <v>1191</v>
      </c>
      <c r="R17" s="1118" t="s">
        <v>1192</v>
      </c>
      <c r="S17" s="1118" t="s">
        <v>1191</v>
      </c>
      <c r="T17" s="1118" t="s">
        <v>1192</v>
      </c>
      <c r="U17" s="1118" t="s">
        <v>1191</v>
      </c>
      <c r="V17" s="1118" t="s">
        <v>1192</v>
      </c>
      <c r="W17" s="1118" t="s">
        <v>1191</v>
      </c>
      <c r="X17" s="1118" t="s">
        <v>1192</v>
      </c>
      <c r="Y17" s="1118" t="s">
        <v>1191</v>
      </c>
      <c r="Z17" s="1118" t="s">
        <v>1192</v>
      </c>
      <c r="AA17" s="1118" t="s">
        <v>1191</v>
      </c>
      <c r="AB17" s="1118" t="s">
        <v>1192</v>
      </c>
      <c r="AC17" s="2732"/>
      <c r="AD17" s="2732"/>
      <c r="AE17" s="2732"/>
      <c r="AF17" s="2732"/>
      <c r="AG17" s="2732"/>
      <c r="AH17" s="2732"/>
      <c r="AI17" s="2732"/>
      <c r="AJ17" s="2732"/>
      <c r="AK17" s="2732"/>
      <c r="AL17" s="2732"/>
      <c r="AM17" s="2732"/>
      <c r="AN17" s="2732"/>
      <c r="AO17" s="2732"/>
      <c r="AP17" s="2732"/>
      <c r="AQ17" s="2732"/>
      <c r="AR17" s="2732"/>
      <c r="AS17" s="2732"/>
      <c r="AT17" s="2732"/>
      <c r="AU17" s="2732"/>
      <c r="AV17" s="2732"/>
      <c r="AW17" s="2732"/>
      <c r="AX17" s="2732"/>
      <c r="AY17" s="2732"/>
      <c r="AZ17" s="2732"/>
      <c r="BA17" s="2732"/>
      <c r="BB17" s="2732"/>
      <c r="BC17" s="2732"/>
      <c r="BD17" s="2732"/>
      <c r="BE17" s="2732"/>
      <c r="BF17" s="2732"/>
      <c r="BG17" s="2732"/>
      <c r="BH17" s="2732"/>
      <c r="BI17" s="2732"/>
      <c r="BJ17" s="2732"/>
      <c r="BK17" s="2732"/>
      <c r="BL17" s="2732"/>
      <c r="BM17" s="2732"/>
      <c r="BN17" s="2732"/>
      <c r="BO17" s="2732"/>
      <c r="BP17" s="2732"/>
      <c r="BQ17" s="2732"/>
      <c r="BR17" s="2732"/>
      <c r="BS17" s="2733"/>
      <c r="BT17" s="1118" t="s">
        <v>1191</v>
      </c>
      <c r="BU17" s="1118" t="s">
        <v>1192</v>
      </c>
      <c r="BV17" s="1118" t="s">
        <v>1191</v>
      </c>
      <c r="BW17" s="1118" t="s">
        <v>1192</v>
      </c>
      <c r="BX17" s="1118" t="s">
        <v>1191</v>
      </c>
      <c r="BY17" s="1118" t="s">
        <v>1192</v>
      </c>
      <c r="BZ17" s="1118" t="s">
        <v>1191</v>
      </c>
      <c r="CA17" s="1118" t="s">
        <v>1192</v>
      </c>
      <c r="CB17" s="1118" t="s">
        <v>1191</v>
      </c>
      <c r="CC17" s="1118" t="s">
        <v>1192</v>
      </c>
      <c r="CD17" s="1118" t="s">
        <v>1191</v>
      </c>
      <c r="CE17" s="1118" t="s">
        <v>1192</v>
      </c>
      <c r="CF17" s="1118" t="s">
        <v>1191</v>
      </c>
      <c r="CG17" s="1118" t="s">
        <v>1192</v>
      </c>
      <c r="CH17" s="1118" t="s">
        <v>1191</v>
      </c>
      <c r="CI17" s="1118" t="s">
        <v>1192</v>
      </c>
      <c r="CJ17" s="1118" t="s">
        <v>1191</v>
      </c>
      <c r="CK17" s="1118" t="s">
        <v>1192</v>
      </c>
      <c r="CL17" s="2739"/>
      <c r="CM17" s="2732"/>
      <c r="CN17" s="2732"/>
      <c r="CO17" s="2732"/>
      <c r="CP17" s="2732"/>
      <c r="CQ17" s="2732"/>
      <c r="CR17" s="2732"/>
      <c r="CS17" s="2732"/>
      <c r="CT17" s="2732"/>
      <c r="CU17" s="2732"/>
      <c r="CV17" s="2732"/>
      <c r="CW17" s="2732"/>
      <c r="CX17" s="2733"/>
      <c r="CY17" s="1118" t="s">
        <v>1191</v>
      </c>
      <c r="CZ17" s="1118" t="s">
        <v>1192</v>
      </c>
      <c r="DA17" s="1118" t="s">
        <v>1191</v>
      </c>
      <c r="DB17" s="1118" t="s">
        <v>1192</v>
      </c>
      <c r="DC17" s="1118" t="s">
        <v>1191</v>
      </c>
      <c r="DD17" s="1118" t="s">
        <v>1192</v>
      </c>
      <c r="DE17" s="1118" t="s">
        <v>1191</v>
      </c>
      <c r="DF17" s="1118" t="s">
        <v>1192</v>
      </c>
      <c r="DG17" s="1118" t="s">
        <v>1191</v>
      </c>
      <c r="DH17" s="1118" t="s">
        <v>1192</v>
      </c>
      <c r="DI17" s="1118" t="s">
        <v>1191</v>
      </c>
      <c r="DJ17" s="1118" t="s">
        <v>1192</v>
      </c>
      <c r="DK17" s="2739"/>
      <c r="DL17" s="2732"/>
      <c r="DM17" s="2732"/>
      <c r="DN17" s="2732"/>
      <c r="DO17" s="2732"/>
      <c r="DP17" s="2732"/>
      <c r="DQ17" s="2732"/>
      <c r="DR17" s="2732"/>
      <c r="DS17" s="2732"/>
      <c r="DT17" s="2732"/>
      <c r="DU17" s="2732"/>
      <c r="DV17" s="2732"/>
      <c r="DW17" s="2732"/>
      <c r="DX17" s="2732"/>
      <c r="DY17" s="2732"/>
      <c r="DZ17" s="2732"/>
      <c r="EA17" s="2732"/>
      <c r="EB17" s="2732"/>
      <c r="EC17" s="2732"/>
      <c r="ED17" s="2732"/>
      <c r="EE17" s="2732"/>
      <c r="EF17" s="2732"/>
      <c r="EG17" s="2732"/>
      <c r="EH17" s="2732"/>
      <c r="EI17" s="2732"/>
      <c r="EJ17" s="2732"/>
      <c r="EK17" s="2732"/>
      <c r="EL17" s="2732"/>
      <c r="EM17" s="2732"/>
      <c r="EN17" s="2732"/>
      <c r="EO17" s="2732"/>
      <c r="EP17" s="2732"/>
      <c r="EQ17" s="2732"/>
      <c r="ER17" s="2732"/>
      <c r="ES17" s="2732"/>
      <c r="ET17" s="2732"/>
      <c r="EU17" s="2732"/>
      <c r="EV17" s="2732"/>
      <c r="EW17" s="2732"/>
      <c r="EX17" s="2732"/>
      <c r="EY17" s="2732"/>
      <c r="EZ17" s="2732"/>
      <c r="FA17" s="2732"/>
      <c r="FB17" s="2732"/>
      <c r="FC17" s="2732"/>
      <c r="FD17" s="2732"/>
      <c r="FE17" s="2732"/>
      <c r="FF17" s="2732"/>
      <c r="FG17" s="2732"/>
      <c r="FH17" s="2732"/>
      <c r="FI17" s="2732"/>
      <c r="FJ17" s="2732"/>
      <c r="FK17" s="2732"/>
      <c r="FL17" s="2732"/>
      <c r="FM17" s="2732"/>
      <c r="FN17" s="2732"/>
      <c r="FO17" s="2732"/>
      <c r="FP17" s="2732"/>
      <c r="FQ17" s="2732"/>
      <c r="FR17" s="2732"/>
      <c r="FS17" s="2732"/>
      <c r="FT17" s="2732"/>
      <c r="FU17" s="2732"/>
      <c r="FV17" s="2732"/>
      <c r="FW17" s="273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456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103</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58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582"/>
      <c r="F5" s="2582"/>
      <c r="G5" s="2582"/>
      <c r="H5" s="2582"/>
      <c r="I5" s="474"/>
      <c r="S5" s="442">
        <v>38</v>
      </c>
    </row>
    <row r="6" spans="1:19" ht="15.75" customHeight="1">
      <c r="C6" s="113"/>
      <c r="D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55"/>
      <c r="F6" s="2555"/>
      <c r="G6" s="2555"/>
      <c r="H6" s="255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183</v>
      </c>
      <c r="S8" s="442">
        <v>1</v>
      </c>
    </row>
    <row r="9" spans="1:19" ht="15.75" customHeight="1">
      <c r="C9" s="113"/>
      <c r="D9" s="648"/>
      <c r="E9" s="2696" t="s">
        <v>173</v>
      </c>
      <c r="F9" s="2697"/>
      <c r="G9" s="747" t="str">
        <f>IF(G8="","",INDEX(DIFFERENTIATION_UNMERGE_VD,MATCH(G8,DIFFERENTIATION_ID_DIFF,0)))</f>
        <v/>
      </c>
      <c r="H9" s="747">
        <f>IF(H8="","",INDEX(DIFFERENTIATION_UNMERGE_VD,MATCH(H8,DIFFERENTIATION_ID_DIFF,0)))</f>
        <v>0</v>
      </c>
      <c r="I9" s="2461" t="s">
        <v>381</v>
      </c>
      <c r="S9" s="442">
        <v>15</v>
      </c>
    </row>
    <row r="10" spans="1:19" s="1562" customFormat="1" ht="15.75" customHeight="1">
      <c r="A10" s="694"/>
      <c r="C10" s="113"/>
      <c r="D10" s="648"/>
      <c r="E10" s="2696" t="s">
        <v>643</v>
      </c>
      <c r="F10" s="2697"/>
      <c r="G10" s="747" t="str">
        <f>IF(G8="","",INDEX(DIFFERENTIATION_UNMERGE_AREA,MATCH(G8,DIFFERENTIATION_ID_DIFF,0)))</f>
        <v/>
      </c>
      <c r="H10" s="747" t="str">
        <f>IF(H8="","",INDEX(DIFFERENTIATION_UNMERGE_AREA,MATCH(H8,DIFFERENTIATION_ID_DIFF,0)))</f>
        <v/>
      </c>
      <c r="I10" s="2461"/>
      <c r="R10" s="612"/>
      <c r="S10" s="693">
        <v>15</v>
      </c>
    </row>
    <row r="11" spans="1:19" s="1562" customFormat="1" ht="15.75" customHeight="1">
      <c r="A11" s="694"/>
      <c r="C11" s="113"/>
      <c r="D11" s="648"/>
      <c r="E11" s="2696" t="s">
        <v>644</v>
      </c>
      <c r="F11" s="2697"/>
      <c r="G11" s="747" t="str">
        <f>IF(G8="","",INDEX(DIFFERENTIATION_UNMERGE_SYSTEM,MATCH(G8,DIFFERENTIATION_ID_DIFF,0)))</f>
        <v/>
      </c>
      <c r="H11" s="747" t="str">
        <f>IF(H8="","",INDEX(DIFFERENTIATION_UNMERGE_SYSTEM,MATCH(H8,DIFFERENTIATION_ID_DIFF,0)))</f>
        <v>без дифференциации</v>
      </c>
      <c r="I11" s="2461"/>
      <c r="R11" s="612"/>
      <c r="S11" s="693">
        <v>15</v>
      </c>
    </row>
    <row r="12" spans="1:19" s="1562" customFormat="1" ht="15.75" customHeight="1">
      <c r="A12" s="694"/>
      <c r="C12" s="113"/>
      <c r="D12" s="2698" t="s">
        <v>380</v>
      </c>
      <c r="E12" s="2699"/>
      <c r="F12" s="2699"/>
      <c r="G12" s="817"/>
      <c r="H12" s="817"/>
      <c r="I12" s="2461"/>
      <c r="R12" s="612"/>
      <c r="S12" s="693">
        <v>15</v>
      </c>
    </row>
    <row r="13" spans="1:19" ht="35.65" customHeight="1">
      <c r="C13" s="113"/>
      <c r="D13" s="696" t="s">
        <v>88</v>
      </c>
      <c r="E13" s="695" t="s">
        <v>382</v>
      </c>
      <c r="F13" s="695" t="s">
        <v>645</v>
      </c>
      <c r="G13" s="739" t="s">
        <v>383</v>
      </c>
      <c r="H13" s="691" t="s">
        <v>383</v>
      </c>
      <c r="I13" s="2461"/>
      <c r="S13" s="442">
        <v>34</v>
      </c>
    </row>
    <row r="14" spans="1:19" ht="15" hidden="1" customHeight="1">
      <c r="C14" s="113"/>
      <c r="D14" s="530" t="s">
        <v>177</v>
      </c>
      <c r="E14" s="530" t="s">
        <v>102</v>
      </c>
      <c r="F14" s="530" t="s">
        <v>90</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1193</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1193</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1193</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386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1194</v>
      </c>
      <c r="E20" s="625"/>
      <c r="F20" s="446"/>
      <c r="G20" s="446"/>
      <c r="H20" s="446"/>
      <c r="I20" s="1690"/>
      <c r="S20" s="442">
        <v>0</v>
      </c>
    </row>
    <row r="21" spans="1:19" ht="29.25" customHeight="1">
      <c r="C21" s="388"/>
      <c r="D21" s="476" t="s">
        <v>393</v>
      </c>
      <c r="E21" s="607"/>
      <c r="F21" s="1688" t="str">
        <f>IF(TEMPLATE_SPHERE="HEAT","Гкал/час","тыс. куб. м/сутки")</f>
        <v>тыс. куб. м/сутки</v>
      </c>
      <c r="G21" s="617"/>
      <c r="H21" s="617"/>
      <c r="I21" s="250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1195</v>
      </c>
      <c r="F22" s="509"/>
      <c r="G22" s="509"/>
      <c r="H22" s="509"/>
      <c r="I22" s="2507"/>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1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512"/>
      <c r="F5" s="2512"/>
      <c r="G5" s="2513"/>
      <c r="Q5" s="22">
        <v>28</v>
      </c>
    </row>
    <row r="6" spans="1:17" s="1562" customFormat="1" ht="18.75" customHeight="1">
      <c r="A6" s="812"/>
      <c r="B6" s="354"/>
      <c r="C6" s="313"/>
      <c r="D6"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78"/>
      <c r="F6" s="2578"/>
      <c r="G6" s="257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563" t="s">
        <v>380</v>
      </c>
      <c r="E9" s="2563"/>
      <c r="F9" s="2563"/>
      <c r="G9" s="2703" t="s">
        <v>381</v>
      </c>
      <c r="Q9" s="22">
        <v>14</v>
      </c>
    </row>
    <row r="10" spans="1:17" ht="24" customHeight="1">
      <c r="C10" s="35"/>
      <c r="D10" s="44" t="s">
        <v>88</v>
      </c>
      <c r="E10" s="47" t="s">
        <v>382</v>
      </c>
      <c r="F10" s="47" t="s">
        <v>470</v>
      </c>
      <c r="G10" s="270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386</v>
      </c>
      <c r="G12" s="88"/>
      <c r="Q12" s="22">
        <v>62</v>
      </c>
    </row>
    <row r="13" spans="1:17" ht="24" customHeight="1">
      <c r="A13" s="129"/>
      <c r="C13" s="35"/>
      <c r="D13" s="84" t="s">
        <v>1100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386</v>
      </c>
      <c r="G13" s="88"/>
      <c r="Q13" s="22">
        <v>23</v>
      </c>
    </row>
    <row r="14" spans="1:17" ht="14.65" customHeight="1">
      <c r="A14" s="129"/>
      <c r="C14" s="35"/>
      <c r="D14" s="84" t="s">
        <v>1136</v>
      </c>
      <c r="E14" s="132"/>
      <c r="F14" s="150"/>
      <c r="G14" s="25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1196</v>
      </c>
      <c r="F15" s="138"/>
      <c r="G15" s="2507"/>
      <c r="Q15" s="22">
        <v>15</v>
      </c>
    </row>
    <row r="16" spans="1:17" ht="14.65" customHeight="1">
      <c r="A16" s="129"/>
      <c r="C16" s="35"/>
      <c r="D16" s="84" t="s">
        <v>1102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386</v>
      </c>
      <c r="G16" s="274"/>
      <c r="Q16" s="22">
        <v>14</v>
      </c>
    </row>
    <row r="17" spans="1:17" ht="14.65" customHeight="1">
      <c r="A17" s="129"/>
      <c r="C17" s="35"/>
      <c r="D17" s="84" t="s">
        <v>1144</v>
      </c>
      <c r="E17" s="132"/>
      <c r="F17" s="322"/>
      <c r="G17" s="25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1197</v>
      </c>
      <c r="F18" s="275"/>
      <c r="G18" s="2507"/>
      <c r="I18" s="287"/>
      <c r="J18" s="287"/>
      <c r="Q18" s="279">
        <v>21</v>
      </c>
    </row>
    <row r="19" spans="1:17" s="1562" customFormat="1" ht="256.5" hidden="1" customHeight="1">
      <c r="A19" s="280"/>
      <c r="B19" s="354"/>
      <c r="C19" s="313"/>
      <c r="D19" s="814" t="s">
        <v>1104</v>
      </c>
      <c r="E19" s="813" t="s">
        <v>1198</v>
      </c>
      <c r="F19" s="322"/>
      <c r="G19" s="274" t="s">
        <v>1199</v>
      </c>
      <c r="I19" s="437"/>
      <c r="J19" s="437"/>
      <c r="Q19" s="693">
        <v>0</v>
      </c>
    </row>
    <row r="20" spans="1:17" s="1562" customFormat="1" ht="14.65" customHeight="1">
      <c r="A20" s="280"/>
      <c r="B20" s="83"/>
      <c r="C20" s="244"/>
      <c r="D20" s="815">
        <v>2</v>
      </c>
      <c r="E20" s="267" t="s">
        <v>1200</v>
      </c>
      <c r="F20" s="135" t="s">
        <v>386</v>
      </c>
      <c r="G20" s="274"/>
      <c r="I20" s="287"/>
      <c r="J20" s="287"/>
      <c r="Q20" s="279">
        <v>14</v>
      </c>
    </row>
    <row r="21" spans="1:17" s="1562" customFormat="1" ht="18.75" hidden="1" customHeight="1">
      <c r="A21" s="280"/>
      <c r="B21" s="83"/>
      <c r="C21" s="244"/>
      <c r="D21" s="270" t="s">
        <v>715</v>
      </c>
      <c r="E21" s="269"/>
      <c r="F21" s="268"/>
      <c r="G21" s="278"/>
      <c r="H21" s="271"/>
      <c r="I21" s="287"/>
      <c r="J21" s="287"/>
      <c r="Q21" s="279">
        <v>0</v>
      </c>
    </row>
    <row r="22" spans="1:17" ht="15.75" customHeight="1">
      <c r="A22" s="129"/>
      <c r="C22" s="35"/>
      <c r="D22" s="48"/>
      <c r="E22" s="140" t="s">
        <v>402</v>
      </c>
      <c r="F22" s="275"/>
      <c r="G22" s="276"/>
      <c r="Q22" s="22">
        <v>15</v>
      </c>
    </row>
    <row r="23" spans="1:17" s="1562" customFormat="1" ht="22.5" hidden="1" customHeight="1">
      <c r="A23" s="280"/>
      <c r="B23" s="1087"/>
      <c r="C23" s="313"/>
      <c r="D23" s="1600" t="s">
        <v>102</v>
      </c>
      <c r="E23" s="134" t="s">
        <v>1201</v>
      </c>
      <c r="F23" s="1597" t="s">
        <v>386</v>
      </c>
      <c r="G23" s="282"/>
      <c r="I23" s="1551"/>
      <c r="J23" s="1551"/>
      <c r="Q23" s="1558">
        <v>0</v>
      </c>
    </row>
    <row r="24" spans="1:17" s="1562" customFormat="1" ht="14.25" hidden="1" customHeight="1">
      <c r="A24" s="280"/>
      <c r="B24" s="1087"/>
      <c r="C24" s="313"/>
      <c r="D24" s="1600" t="s">
        <v>787</v>
      </c>
      <c r="E24" s="1599" t="s">
        <v>1202</v>
      </c>
      <c r="F24" s="1597" t="s">
        <v>386</v>
      </c>
      <c r="G24" s="274"/>
      <c r="I24" s="1551"/>
      <c r="J24" s="1551"/>
      <c r="Q24" s="1558">
        <v>0</v>
      </c>
    </row>
    <row r="25" spans="1:17" s="1562" customFormat="1" ht="14.25" hidden="1" customHeight="1">
      <c r="A25" s="280"/>
      <c r="B25" s="1087"/>
      <c r="C25" s="313"/>
      <c r="D25" s="1600" t="s">
        <v>790</v>
      </c>
      <c r="E25" s="132"/>
      <c r="F25" s="322"/>
      <c r="G25" s="2505" t="s">
        <v>1203</v>
      </c>
      <c r="I25" s="1551"/>
      <c r="J25" s="1551"/>
      <c r="Q25" s="1558">
        <v>0</v>
      </c>
    </row>
    <row r="26" spans="1:17" s="1562" customFormat="1" ht="22.5" hidden="1" customHeight="1">
      <c r="A26" s="280"/>
      <c r="B26" s="1087"/>
      <c r="C26" s="313"/>
      <c r="D26" s="284"/>
      <c r="E26" s="286" t="s">
        <v>1204</v>
      </c>
      <c r="F26" s="275"/>
      <c r="G26" s="2507"/>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103</v>
      </c>
      <c r="D2" s="1600"/>
      <c r="E2" s="136"/>
      <c r="F2" s="1597"/>
      <c r="G2" s="1597" t="s">
        <v>386</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103</v>
      </c>
      <c r="D4" s="1600"/>
      <c r="E4" s="142" t="s">
        <v>1205</v>
      </c>
      <c r="F4" s="1597"/>
      <c r="G4" s="194"/>
      <c r="H4" s="1597" t="s">
        <v>386</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103</v>
      </c>
      <c r="D6" s="1600"/>
      <c r="E6" s="143" t="s">
        <v>1206</v>
      </c>
      <c r="F6" s="1597"/>
      <c r="G6" s="194"/>
      <c r="H6" s="1597" t="s">
        <v>386</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103</v>
      </c>
      <c r="D8" s="1600"/>
      <c r="E8" s="143" t="s">
        <v>1207</v>
      </c>
      <c r="F8" s="1597"/>
      <c r="G8" s="194"/>
      <c r="H8" s="1597" t="s">
        <v>386</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103</v>
      </c>
      <c r="D10" s="1600"/>
      <c r="E10" s="143" t="s">
        <v>1208</v>
      </c>
      <c r="F10" s="1597"/>
      <c r="G10" s="1601"/>
      <c r="H10" s="1597" t="s">
        <v>386</v>
      </c>
      <c r="K10" s="1551"/>
      <c r="L10" s="1551" t="s">
        <v>1209</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1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512"/>
      <c r="F14" s="2512"/>
      <c r="G14" s="2512"/>
      <c r="H14" s="2513"/>
      <c r="J14" s="1558"/>
      <c r="M14" s="22">
        <v>28</v>
      </c>
    </row>
    <row r="15" spans="1:13" s="1562" customFormat="1" ht="14.65" customHeight="1">
      <c r="A15" s="1289"/>
      <c r="B15" s="1087"/>
      <c r="C15" s="313"/>
      <c r="D15"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578"/>
      <c r="F15" s="2578"/>
      <c r="G15" s="2578"/>
      <c r="H15" s="257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563" t="s">
        <v>380</v>
      </c>
      <c r="E18" s="2563"/>
      <c r="F18" s="2563"/>
      <c r="G18" s="2563"/>
      <c r="H18" s="2563"/>
      <c r="I18" s="2703" t="s">
        <v>381</v>
      </c>
      <c r="M18" s="22">
        <v>21</v>
      </c>
    </row>
    <row r="19" spans="1:13" ht="21.95" customHeight="1">
      <c r="C19" s="35"/>
      <c r="D19" s="44" t="s">
        <v>88</v>
      </c>
      <c r="E19" s="47" t="s">
        <v>382</v>
      </c>
      <c r="F19" s="47"/>
      <c r="G19" s="47" t="s">
        <v>383</v>
      </c>
      <c r="H19" s="47" t="s">
        <v>470</v>
      </c>
      <c r="I19" s="2703"/>
      <c r="M19" s="22">
        <v>21</v>
      </c>
    </row>
    <row r="20" spans="1:13" ht="12" hidden="1" customHeight="1">
      <c r="C20" s="35"/>
      <c r="D20" s="26"/>
      <c r="E20" s="26"/>
      <c r="F20" s="26"/>
      <c r="G20" s="26"/>
      <c r="H20" s="26"/>
      <c r="I20" s="26"/>
      <c r="M20" s="22">
        <v>0</v>
      </c>
    </row>
    <row r="21" spans="1:13" ht="14.65" customHeight="1">
      <c r="A21" s="1610"/>
      <c r="C21" s="35"/>
      <c r="D21" s="84">
        <v>1</v>
      </c>
      <c r="E21" s="2753" t="s">
        <v>1210</v>
      </c>
      <c r="F21" s="2753"/>
      <c r="G21" s="2753"/>
      <c r="H21" s="2753"/>
      <c r="I21" s="145"/>
      <c r="M21" s="22">
        <v>14</v>
      </c>
    </row>
    <row r="22" spans="1:13" ht="21" customHeight="1">
      <c r="A22" s="1610"/>
      <c r="C22" s="35"/>
      <c r="D22" s="84" t="s">
        <v>1100</v>
      </c>
      <c r="E22" s="131" t="s">
        <v>1211</v>
      </c>
      <c r="F22" s="135"/>
      <c r="G22" s="1664"/>
      <c r="H22" s="135" t="s">
        <v>386</v>
      </c>
      <c r="I22" s="88" t="s">
        <v>1212</v>
      </c>
      <c r="M22" s="22">
        <v>20</v>
      </c>
    </row>
    <row r="23" spans="1:13" ht="60" customHeight="1">
      <c r="A23" s="1610"/>
      <c r="C23" s="35"/>
      <c r="D23" s="84" t="s">
        <v>1102</v>
      </c>
      <c r="E23" s="131" t="s">
        <v>1213</v>
      </c>
      <c r="F23" s="135"/>
      <c r="G23" s="194"/>
      <c r="H23" s="150"/>
      <c r="I23" s="195" t="s">
        <v>1214</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386</v>
      </c>
      <c r="H24" s="150"/>
      <c r="I24" s="196" t="s">
        <v>710</v>
      </c>
      <c r="M24" s="22">
        <v>14</v>
      </c>
    </row>
    <row r="25" spans="1:13" ht="48.2" customHeight="1">
      <c r="A25" s="1610"/>
      <c r="C25" s="35"/>
      <c r="D25" s="84">
        <v>3</v>
      </c>
      <c r="E25" s="275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753"/>
      <c r="G25" s="2753"/>
      <c r="H25" s="2753"/>
      <c r="I25" s="193"/>
      <c r="M25" s="22">
        <v>46</v>
      </c>
    </row>
    <row r="26" spans="1:13" ht="14.65" customHeight="1">
      <c r="A26" s="1610"/>
      <c r="C26" s="35"/>
      <c r="D26" s="84" t="s">
        <v>404</v>
      </c>
      <c r="E26" s="136"/>
      <c r="F26" s="135"/>
      <c r="G26" s="135" t="s">
        <v>386</v>
      </c>
      <c r="H26" s="150"/>
      <c r="I26" s="2505" t="s">
        <v>1215</v>
      </c>
      <c r="M26" s="22">
        <v>14</v>
      </c>
    </row>
    <row r="27" spans="1:13" ht="15.75" customHeight="1">
      <c r="A27" s="1610" t="s">
        <v>177</v>
      </c>
      <c r="C27" s="35"/>
      <c r="D27" s="48"/>
      <c r="E27" s="140" t="s">
        <v>402</v>
      </c>
      <c r="F27" s="141"/>
      <c r="G27" s="141"/>
      <c r="H27" s="138"/>
      <c r="I27" s="2507"/>
      <c r="M27" s="22">
        <v>15</v>
      </c>
    </row>
    <row r="28" spans="1:13" ht="39.75" customHeight="1">
      <c r="A28" s="1610"/>
      <c r="B28" s="83">
        <v>3</v>
      </c>
      <c r="C28" s="35"/>
      <c r="D28" s="84">
        <v>4</v>
      </c>
      <c r="E28" s="275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753"/>
      <c r="G28" s="2753"/>
      <c r="H28" s="2753"/>
      <c r="I28" s="193"/>
      <c r="M28" s="22">
        <v>38</v>
      </c>
    </row>
    <row r="29" spans="1:13" ht="21" customHeight="1">
      <c r="A29" s="1610"/>
      <c r="C29" s="35"/>
      <c r="D29" s="84" t="s">
        <v>832</v>
      </c>
      <c r="E29" s="142" t="s">
        <v>1205</v>
      </c>
      <c r="F29" s="135"/>
      <c r="G29" s="194"/>
      <c r="H29" s="135" t="s">
        <v>386</v>
      </c>
      <c r="I29" s="2505" t="s">
        <v>1216</v>
      </c>
      <c r="M29" s="22">
        <v>20</v>
      </c>
    </row>
    <row r="30" spans="1:13" ht="15.75" customHeight="1">
      <c r="A30" s="1610" t="s">
        <v>102</v>
      </c>
      <c r="C30" s="35"/>
      <c r="D30" s="48"/>
      <c r="E30" s="140" t="s">
        <v>402</v>
      </c>
      <c r="F30" s="141"/>
      <c r="G30" s="141"/>
      <c r="H30" s="138"/>
      <c r="I30" s="2507"/>
      <c r="M30" s="22">
        <v>15</v>
      </c>
    </row>
    <row r="31" spans="1:13" ht="31.5" customHeight="1">
      <c r="A31" s="1610"/>
      <c r="B31" s="83">
        <v>3</v>
      </c>
      <c r="C31" s="35"/>
      <c r="D31" s="84">
        <v>5</v>
      </c>
      <c r="E31" s="275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753"/>
      <c r="G31" s="2753"/>
      <c r="H31" s="2753"/>
      <c r="I31" s="193"/>
      <c r="M31" s="22">
        <v>30</v>
      </c>
    </row>
    <row r="32" spans="1:13" ht="27.4" customHeight="1">
      <c r="A32" s="1610"/>
      <c r="C32" s="35"/>
      <c r="D32" s="84" t="s">
        <v>393</v>
      </c>
      <c r="E32" s="27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16"/>
      <c r="G32" s="2716"/>
      <c r="H32" s="2716"/>
      <c r="I32" s="193"/>
      <c r="M32" s="22">
        <v>26</v>
      </c>
    </row>
    <row r="33" spans="1:13" ht="14.65" customHeight="1">
      <c r="A33" s="1610"/>
      <c r="C33" s="35"/>
      <c r="D33" s="84" t="s">
        <v>1217</v>
      </c>
      <c r="E33" s="143" t="s">
        <v>1206</v>
      </c>
      <c r="F33" s="135"/>
      <c r="G33" s="194"/>
      <c r="H33" s="135" t="s">
        <v>386</v>
      </c>
      <c r="I33" s="2505" t="s">
        <v>1218</v>
      </c>
      <c r="M33" s="22">
        <v>14</v>
      </c>
    </row>
    <row r="34" spans="1:13" ht="15.75" customHeight="1">
      <c r="A34" s="1610" t="s">
        <v>90</v>
      </c>
      <c r="C34" s="35"/>
      <c r="D34" s="48"/>
      <c r="E34" s="141" t="s">
        <v>402</v>
      </c>
      <c r="F34" s="137"/>
      <c r="G34" s="137"/>
      <c r="H34" s="138"/>
      <c r="I34" s="2507"/>
      <c r="M34" s="22">
        <v>15</v>
      </c>
    </row>
    <row r="35" spans="1:13" ht="25.15" customHeight="1">
      <c r="A35" s="1610"/>
      <c r="C35" s="35"/>
      <c r="D35" s="84" t="s">
        <v>960</v>
      </c>
      <c r="E35" s="27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16"/>
      <c r="G35" s="2716"/>
      <c r="H35" s="2716"/>
      <c r="I35" s="193"/>
      <c r="M35" s="22">
        <v>24</v>
      </c>
    </row>
    <row r="36" spans="1:13" ht="14.65" customHeight="1">
      <c r="A36" s="1610"/>
      <c r="C36" s="35"/>
      <c r="D36" s="84" t="s">
        <v>1219</v>
      </c>
      <c r="E36" s="143" t="s">
        <v>1207</v>
      </c>
      <c r="F36" s="135"/>
      <c r="G36" s="194"/>
      <c r="H36" s="135" t="s">
        <v>386</v>
      </c>
      <c r="I36" s="2483" t="s">
        <v>1220</v>
      </c>
      <c r="M36" s="22">
        <v>14</v>
      </c>
    </row>
    <row r="37" spans="1:13" ht="15.75" customHeight="1">
      <c r="A37" s="1610" t="s">
        <v>91</v>
      </c>
      <c r="C37" s="35"/>
      <c r="D37" s="48"/>
      <c r="E37" s="141" t="s">
        <v>402</v>
      </c>
      <c r="F37" s="137"/>
      <c r="G37" s="137"/>
      <c r="H37" s="138"/>
      <c r="I37" s="2483"/>
      <c r="M37" s="22">
        <v>15</v>
      </c>
    </row>
    <row r="38" spans="1:13" ht="27.4" customHeight="1">
      <c r="A38" s="1610"/>
      <c r="C38" s="35"/>
      <c r="D38" s="84" t="s">
        <v>961</v>
      </c>
      <c r="E38" s="27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16"/>
      <c r="G38" s="2716"/>
      <c r="H38" s="2716"/>
      <c r="I38" s="193"/>
      <c r="M38" s="22">
        <v>26</v>
      </c>
    </row>
    <row r="39" spans="1:13" ht="14.65" customHeight="1">
      <c r="A39" s="1610"/>
      <c r="C39" s="35"/>
      <c r="D39" s="84" t="s">
        <v>962</v>
      </c>
      <c r="E39" s="143" t="s">
        <v>1208</v>
      </c>
      <c r="F39" s="135"/>
      <c r="G39" s="144"/>
      <c r="H39" s="135" t="s">
        <v>386</v>
      </c>
      <c r="I39" s="2505" t="s">
        <v>1221</v>
      </c>
      <c r="L39" s="92" t="s">
        <v>1209</v>
      </c>
      <c r="M39" s="22">
        <v>14</v>
      </c>
    </row>
    <row r="40" spans="1:13" ht="15.75" customHeight="1">
      <c r="A40" s="1610" t="s">
        <v>127</v>
      </c>
      <c r="C40" s="35"/>
      <c r="D40" s="48"/>
      <c r="E40" s="141" t="s">
        <v>402</v>
      </c>
      <c r="F40" s="137"/>
      <c r="G40" s="137"/>
      <c r="H40" s="138"/>
      <c r="I40" s="2507"/>
      <c r="M40" s="22">
        <v>15</v>
      </c>
    </row>
    <row r="41" spans="1:13" s="1749" customFormat="1" ht="3" customHeight="1">
      <c r="A41" s="1610"/>
      <c r="K41" s="133"/>
      <c r="L41" s="133"/>
      <c r="M41" s="78">
        <v>3</v>
      </c>
    </row>
    <row r="42" spans="1:13" ht="26.25" customHeight="1">
      <c r="D42" s="1608" t="s">
        <v>882</v>
      </c>
      <c r="E42" s="26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00"/>
      <c r="G42" s="2600"/>
      <c r="H42" s="2600"/>
      <c r="I42" s="2600"/>
      <c r="M42" s="22">
        <v>25</v>
      </c>
    </row>
    <row r="43" spans="1:13" ht="22.5" hidden="1" customHeight="1">
      <c r="A43" s="1289"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221</v>
      </c>
      <c r="B2" s="1707" t="s">
        <v>222</v>
      </c>
      <c r="C2" s="306"/>
      <c r="D2" s="281"/>
      <c r="E2" s="961"/>
      <c r="F2" s="961"/>
      <c r="G2" s="2729" t="str">
        <f>INDEX(PT_DIFFERENTIATION_NTAR,MATCH(B2,PT_DIFFERENTIATION_NTAR_ID,0))</f>
        <v/>
      </c>
      <c r="H2" s="1790"/>
      <c r="I2" s="1666"/>
      <c r="J2" s="1700"/>
      <c r="K2" s="1791"/>
      <c r="L2" s="1790" t="s">
        <v>386</v>
      </c>
      <c r="M2" s="1801"/>
      <c r="N2" s="271"/>
      <c r="O2" s="1551"/>
      <c r="P2" s="1551"/>
      <c r="AH2" s="1558">
        <v>0</v>
      </c>
    </row>
    <row r="3" spans="1:34" s="1562" customFormat="1" ht="18.75" hidden="1" customHeight="1">
      <c r="A3" s="1707"/>
      <c r="B3" s="1707"/>
      <c r="C3" s="306" t="s">
        <v>1222</v>
      </c>
      <c r="D3" s="281"/>
      <c r="E3" s="961"/>
      <c r="F3" s="961"/>
      <c r="G3" s="2729"/>
      <c r="H3" s="1427"/>
      <c r="I3" s="588" t="s">
        <v>1223</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221</v>
      </c>
      <c r="B5" s="1707" t="s">
        <v>222</v>
      </c>
      <c r="C5" s="306"/>
      <c r="D5" s="281"/>
      <c r="E5" s="961"/>
      <c r="F5" s="961"/>
      <c r="G5" s="2729" t="str">
        <f>INDEX(PT_DIFFERENTIATION_NTAR,MATCH(B5,PT_DIFFERENTIATION_NTAR_ID,0))</f>
        <v/>
      </c>
      <c r="H5" s="1790"/>
      <c r="I5" s="1666"/>
      <c r="J5" s="1700"/>
      <c r="K5" s="1705"/>
      <c r="L5" s="1790" t="s">
        <v>386</v>
      </c>
      <c r="M5" s="1801"/>
      <c r="N5" s="271"/>
      <c r="O5" s="1551"/>
      <c r="P5" s="1551"/>
      <c r="AH5" s="1558">
        <v>0</v>
      </c>
    </row>
    <row r="6" spans="1:34" s="1562" customFormat="1" ht="18.75" hidden="1" customHeight="1">
      <c r="A6" s="1707"/>
      <c r="B6" s="1707"/>
      <c r="C6" s="306" t="s">
        <v>1224</v>
      </c>
      <c r="D6" s="281"/>
      <c r="E6" s="961"/>
      <c r="F6" s="961"/>
      <c r="G6" s="2729"/>
      <c r="H6" s="1427"/>
      <c r="I6" s="588" t="s">
        <v>1223</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386</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386</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75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755"/>
      <c r="G14" s="2755"/>
      <c r="H14" s="2755"/>
      <c r="I14" s="2755"/>
      <c r="J14" s="2755"/>
      <c r="K14" s="2755"/>
      <c r="L14" s="2755"/>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593">
        <f>IF(TITLE_DATE_PR_CHANGE="",IF(TITLE_DATE_PR="","",TITLE_DATE_PR),TITLE_DATE_PR_CHANGE)</f>
        <v>45596.468541666669</v>
      </c>
      <c r="H16" s="2593"/>
      <c r="I16" s="2593"/>
      <c r="J16" s="2593"/>
      <c r="K16" s="2593"/>
      <c r="L16" s="259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594" t="str">
        <f>IF(TITLE_NUMBER_PR_CHANGE="",IF(TITLE_NUMBER_PR="","",TITLE_NUMBER_PR),TITLE_NUMBER_PR_CHANGE)</f>
        <v>440,503</v>
      </c>
      <c r="H17" s="2594"/>
      <c r="I17" s="2594"/>
      <c r="J17" s="2594"/>
      <c r="K17" s="2594"/>
      <c r="L17" s="259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563" t="s">
        <v>380</v>
      </c>
      <c r="F19" s="2563"/>
      <c r="G19" s="2563"/>
      <c r="H19" s="2563"/>
      <c r="I19" s="2563"/>
      <c r="J19" s="2563"/>
      <c r="K19" s="2563"/>
      <c r="L19" s="2563"/>
      <c r="M19" s="2703" t="s">
        <v>381</v>
      </c>
      <c r="AH19" s="311">
        <v>21</v>
      </c>
    </row>
    <row r="20" spans="1:34" ht="21.95" customHeight="1">
      <c r="D20" s="313"/>
      <c r="E20" s="2618" t="s">
        <v>88</v>
      </c>
      <c r="F20" s="2569" t="s">
        <v>188</v>
      </c>
      <c r="G20" s="2569" t="s">
        <v>189</v>
      </c>
      <c r="H20" s="2700" t="s">
        <v>1225</v>
      </c>
      <c r="I20" s="2701"/>
      <c r="J20" s="2731"/>
      <c r="K20" s="2569" t="s">
        <v>383</v>
      </c>
      <c r="L20" s="2569" t="s">
        <v>470</v>
      </c>
      <c r="M20" s="2703"/>
      <c r="AH20" s="311">
        <v>21</v>
      </c>
    </row>
    <row r="21" spans="1:34" ht="21.95" customHeight="1">
      <c r="D21" s="313"/>
      <c r="E21" s="2620"/>
      <c r="F21" s="2570"/>
      <c r="G21" s="2570"/>
      <c r="H21" s="2568" t="s">
        <v>1226</v>
      </c>
      <c r="I21" s="2581"/>
      <c r="J21" s="47" t="s">
        <v>1227</v>
      </c>
      <c r="K21" s="2570"/>
      <c r="L21" s="2570"/>
      <c r="M21" s="2703"/>
      <c r="AH21" s="311">
        <v>21</v>
      </c>
    </row>
    <row r="22" spans="1:34" ht="12.75" customHeight="1">
      <c r="D22" s="313"/>
      <c r="E22" s="218"/>
      <c r="F22" s="218"/>
      <c r="G22" s="218"/>
      <c r="H22" s="2757"/>
      <c r="I22" s="2757"/>
      <c r="J22" s="218"/>
      <c r="K22" s="218"/>
      <c r="L22" s="218"/>
      <c r="M22" s="218"/>
      <c r="AH22" s="311">
        <v>12</v>
      </c>
    </row>
    <row r="23" spans="1:34" ht="19.899999999999999" customHeight="1">
      <c r="A23" s="1707"/>
      <c r="B23" s="1707"/>
      <c r="D23" s="313"/>
      <c r="E23" s="1792" t="s">
        <v>177</v>
      </c>
      <c r="F23" s="2758" t="str">
        <f>"Предлагаемый метод регулирования"&amp;IF(TEMPLATE_SPHERE="HEAT"," в сфере "&amp;TEMPLATE_SPHERE_RUS,"")</f>
        <v>Предлагаемый метод регулирования</v>
      </c>
      <c r="G23" s="2758"/>
      <c r="H23" s="2753"/>
      <c r="I23" s="2753"/>
      <c r="J23" s="2753"/>
      <c r="K23" s="2758" t="s">
        <v>386</v>
      </c>
      <c r="L23" s="2753"/>
      <c r="M23" s="1696"/>
      <c r="N23" s="271"/>
      <c r="AH23" s="311">
        <v>19</v>
      </c>
    </row>
    <row r="24" spans="1:34" ht="60.75" hidden="1" customHeight="1">
      <c r="A24" s="1707" t="s">
        <v>221</v>
      </c>
      <c r="B24" s="1707" t="s">
        <v>222</v>
      </c>
      <c r="D24" s="2756"/>
      <c r="E24" s="2558"/>
      <c r="F24" s="275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29" t="str">
        <f>INDEX(PT_DIFFERENTIATION_NTAR,MATCH(B24,PT_DIFFERENTIATION_NTAR_ID,0))</f>
        <v/>
      </c>
      <c r="H24" s="1788"/>
      <c r="I24" s="1666"/>
      <c r="J24" s="1700"/>
      <c r="K24" s="1791"/>
      <c r="L24" s="1695" t="s">
        <v>386</v>
      </c>
      <c r="M24" s="25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1222</v>
      </c>
      <c r="D25" s="2756"/>
      <c r="E25" s="2558"/>
      <c r="F25" s="2759"/>
      <c r="G25" s="2729"/>
      <c r="H25" s="1427"/>
      <c r="I25" s="588" t="s">
        <v>1223</v>
      </c>
      <c r="J25" s="508"/>
      <c r="K25" s="1427"/>
      <c r="L25" s="151"/>
      <c r="M25" s="2506"/>
      <c r="N25" s="271"/>
      <c r="O25" s="1551"/>
      <c r="P25" s="1551"/>
      <c r="AH25" s="1558">
        <v>0</v>
      </c>
    </row>
    <row r="26" spans="1:34" ht="0.75" hidden="1" customHeight="1">
      <c r="A26" s="1707"/>
      <c r="B26" s="1707"/>
      <c r="C26" s="306" t="s">
        <v>1228</v>
      </c>
      <c r="D26" s="2756"/>
      <c r="E26" s="2558"/>
      <c r="F26" s="2689"/>
      <c r="G26" s="337"/>
      <c r="H26" s="1427"/>
      <c r="I26" s="332"/>
      <c r="J26" s="286"/>
      <c r="K26" s="1427"/>
      <c r="L26" s="138"/>
      <c r="M26" s="2506"/>
      <c r="N26" s="271"/>
      <c r="AH26" s="311">
        <v>0</v>
      </c>
    </row>
    <row r="27" spans="1:34" s="1562" customFormat="1" ht="45" hidden="1" customHeight="1">
      <c r="A27" s="1707" t="s">
        <v>226</v>
      </c>
      <c r="B27" s="1707" t="s">
        <v>227</v>
      </c>
      <c r="C27" s="306"/>
      <c r="D27" s="2754"/>
      <c r="E27" s="2760"/>
      <c r="F27" s="2761" t="str">
        <f>INDEX(PT_DIFFERENTIATION_VTAR,MATCH(A27,PT_DIFFERENTIATION_VTAR_ID,0))</f>
        <v/>
      </c>
      <c r="G27" s="2729" t="str">
        <f>INDEX(PT_DIFFERENTIATION_NTAR,MATCH(B27,PT_DIFFERENTIATION_NTAR_ID,0))</f>
        <v/>
      </c>
      <c r="H27" s="1788"/>
      <c r="I27" s="1666"/>
      <c r="J27" s="1700"/>
      <c r="K27" s="1791"/>
      <c r="L27" s="1788" t="s">
        <v>386</v>
      </c>
      <c r="M27" s="2506"/>
      <c r="N27" s="271"/>
      <c r="O27" s="1551"/>
      <c r="P27" s="1551"/>
      <c r="AH27" s="1558">
        <v>0</v>
      </c>
    </row>
    <row r="28" spans="1:34" s="1562" customFormat="1" ht="18.75" hidden="1" customHeight="1">
      <c r="A28" s="1707"/>
      <c r="B28" s="1707"/>
      <c r="C28" s="306" t="s">
        <v>1222</v>
      </c>
      <c r="D28" s="2754"/>
      <c r="E28" s="2760"/>
      <c r="F28" s="2761"/>
      <c r="G28" s="2729"/>
      <c r="H28" s="1427"/>
      <c r="I28" s="588" t="s">
        <v>1223</v>
      </c>
      <c r="J28" s="508"/>
      <c r="K28" s="1427"/>
      <c r="L28" s="151"/>
      <c r="M28" s="2506"/>
      <c r="N28" s="271"/>
      <c r="O28" s="1551"/>
      <c r="P28" s="1551"/>
      <c r="AH28" s="1558">
        <v>0</v>
      </c>
    </row>
    <row r="29" spans="1:34" s="1562" customFormat="1" ht="0.75" hidden="1" customHeight="1">
      <c r="A29" s="1707"/>
      <c r="B29" s="1707"/>
      <c r="C29" s="306" t="s">
        <v>1228</v>
      </c>
      <c r="D29" s="2754"/>
      <c r="E29" s="2558"/>
      <c r="F29" s="2689"/>
      <c r="G29" s="337"/>
      <c r="H29" s="1427"/>
      <c r="I29" s="588"/>
      <c r="J29" s="508"/>
      <c r="K29" s="1427"/>
      <c r="L29" s="151"/>
      <c r="M29" s="2506"/>
      <c r="N29" s="271"/>
      <c r="O29" s="1551"/>
      <c r="P29" s="1551"/>
      <c r="AH29" s="1558">
        <v>0</v>
      </c>
    </row>
    <row r="30" spans="1:34" s="1562" customFormat="1" ht="45" hidden="1" customHeight="1">
      <c r="A30" s="1707" t="s">
        <v>233</v>
      </c>
      <c r="B30" s="1707" t="s">
        <v>234</v>
      </c>
      <c r="C30" s="306"/>
      <c r="D30" s="2754"/>
      <c r="E30" s="2558"/>
      <c r="F30" s="26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29" t="str">
        <f>INDEX(PT_DIFFERENTIATION_NTAR,MATCH(B30,PT_DIFFERENTIATION_NTAR_ID,0))</f>
        <v/>
      </c>
      <c r="H30" s="1788"/>
      <c r="I30" s="1666"/>
      <c r="J30" s="1700"/>
      <c r="K30" s="1791"/>
      <c r="L30" s="1788" t="s">
        <v>386</v>
      </c>
      <c r="M30" s="2506"/>
      <c r="N30" s="271"/>
      <c r="O30" s="1551"/>
      <c r="P30" s="1551"/>
      <c r="AH30" s="1558">
        <v>0</v>
      </c>
    </row>
    <row r="31" spans="1:34" s="1562" customFormat="1" ht="18.75" hidden="1" customHeight="1">
      <c r="A31" s="1707"/>
      <c r="B31" s="1707"/>
      <c r="C31" s="306" t="s">
        <v>1222</v>
      </c>
      <c r="D31" s="2754"/>
      <c r="E31" s="2558"/>
      <c r="F31" s="2689"/>
      <c r="G31" s="2729"/>
      <c r="H31" s="1427"/>
      <c r="I31" s="588" t="s">
        <v>1223</v>
      </c>
      <c r="J31" s="508"/>
      <c r="K31" s="1427"/>
      <c r="L31" s="151"/>
      <c r="M31" s="2506"/>
      <c r="N31" s="271"/>
      <c r="O31" s="1551"/>
      <c r="P31" s="1551"/>
      <c r="AH31" s="1558">
        <v>0</v>
      </c>
    </row>
    <row r="32" spans="1:34" s="1562" customFormat="1" ht="0.75" hidden="1" customHeight="1">
      <c r="A32" s="1707"/>
      <c r="B32" s="1707"/>
      <c r="C32" s="306" t="s">
        <v>1228</v>
      </c>
      <c r="D32" s="2754"/>
      <c r="E32" s="2558"/>
      <c r="F32" s="2689"/>
      <c r="G32" s="337"/>
      <c r="H32" s="1427"/>
      <c r="I32" s="588"/>
      <c r="J32" s="508"/>
      <c r="K32" s="1427"/>
      <c r="L32" s="151"/>
      <c r="M32" s="2506"/>
      <c r="N32" s="271"/>
      <c r="O32" s="1551"/>
      <c r="P32" s="1551"/>
      <c r="AH32" s="1558">
        <v>0</v>
      </c>
    </row>
    <row r="33" spans="1:34" s="1562" customFormat="1" ht="45" hidden="1" customHeight="1">
      <c r="A33" s="1707" t="s">
        <v>239</v>
      </c>
      <c r="B33" s="1707" t="s">
        <v>240</v>
      </c>
      <c r="C33" s="306"/>
      <c r="D33" s="2754"/>
      <c r="E33" s="2558"/>
      <c r="F33" s="26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29" t="str">
        <f>INDEX(PT_DIFFERENTIATION_NTAR,MATCH(B33,PT_DIFFERENTIATION_NTAR_ID,0))</f>
        <v/>
      </c>
      <c r="H33" s="1788"/>
      <c r="I33" s="1666"/>
      <c r="J33" s="1700"/>
      <c r="K33" s="1791"/>
      <c r="L33" s="1788" t="s">
        <v>386</v>
      </c>
      <c r="M33" s="2506"/>
      <c r="N33" s="271"/>
      <c r="O33" s="1551"/>
      <c r="P33" s="1551"/>
      <c r="AH33" s="1558">
        <v>0</v>
      </c>
    </row>
    <row r="34" spans="1:34" s="1562" customFormat="1" ht="18.75" hidden="1" customHeight="1">
      <c r="A34" s="1707"/>
      <c r="B34" s="1707"/>
      <c r="C34" s="306" t="s">
        <v>1222</v>
      </c>
      <c r="D34" s="2754"/>
      <c r="E34" s="2558"/>
      <c r="F34" s="2689"/>
      <c r="G34" s="2729"/>
      <c r="H34" s="1427"/>
      <c r="I34" s="588" t="s">
        <v>1223</v>
      </c>
      <c r="J34" s="508"/>
      <c r="K34" s="1427"/>
      <c r="L34" s="151"/>
      <c r="M34" s="2506"/>
      <c r="N34" s="271"/>
      <c r="O34" s="1551"/>
      <c r="P34" s="1551"/>
      <c r="AH34" s="1558">
        <v>0</v>
      </c>
    </row>
    <row r="35" spans="1:34" s="1562" customFormat="1" ht="0.75" hidden="1" customHeight="1">
      <c r="A35" s="1707"/>
      <c r="B35" s="1707"/>
      <c r="C35" s="306" t="s">
        <v>1228</v>
      </c>
      <c r="D35" s="2754"/>
      <c r="E35" s="2558"/>
      <c r="F35" s="2689"/>
      <c r="G35" s="337"/>
      <c r="H35" s="1427"/>
      <c r="I35" s="588"/>
      <c r="J35" s="508"/>
      <c r="K35" s="1427"/>
      <c r="L35" s="151"/>
      <c r="M35" s="2506"/>
      <c r="N35" s="271"/>
      <c r="O35" s="1551"/>
      <c r="P35" s="1551"/>
      <c r="AH35" s="1558">
        <v>0</v>
      </c>
    </row>
    <row r="36" spans="1:34" s="1562" customFormat="1" ht="18.75" hidden="1" customHeight="1">
      <c r="A36" s="1707" t="s">
        <v>245</v>
      </c>
      <c r="B36" s="1707" t="s">
        <v>246</v>
      </c>
      <c r="C36" s="306"/>
      <c r="D36" s="2754"/>
      <c r="E36" s="2558"/>
      <c r="F36" s="2689" t="str">
        <f>INDEX(PT_DIFFERENTIATION_VTAR,MATCH(A36,PT_DIFFERENTIATION_VTAR_ID,0))</f>
        <v>Тарифы на услуги по передаче тепловой энергии</v>
      </c>
      <c r="G36" s="2729" t="str">
        <f>INDEX(PT_DIFFERENTIATION_NTAR,MATCH(B36,PT_DIFFERENTIATION_NTAR_ID,0))</f>
        <v/>
      </c>
      <c r="H36" s="1788"/>
      <c r="I36" s="1666"/>
      <c r="J36" s="1700"/>
      <c r="K36" s="1791"/>
      <c r="L36" s="1788" t="s">
        <v>386</v>
      </c>
      <c r="M36" s="2506"/>
      <c r="N36" s="271"/>
      <c r="O36" s="1551"/>
      <c r="P36" s="1551"/>
      <c r="AH36" s="1558">
        <v>0</v>
      </c>
    </row>
    <row r="37" spans="1:34" s="1562" customFormat="1" ht="18.75" hidden="1" customHeight="1">
      <c r="A37" s="1707"/>
      <c r="B37" s="1707"/>
      <c r="C37" s="306" t="s">
        <v>1222</v>
      </c>
      <c r="D37" s="2754"/>
      <c r="E37" s="2558"/>
      <c r="F37" s="2689"/>
      <c r="G37" s="2729"/>
      <c r="H37" s="1427"/>
      <c r="I37" s="588" t="s">
        <v>1223</v>
      </c>
      <c r="J37" s="508"/>
      <c r="K37" s="1427"/>
      <c r="L37" s="151"/>
      <c r="M37" s="2506"/>
      <c r="N37" s="271"/>
      <c r="O37" s="1551"/>
      <c r="P37" s="1551"/>
      <c r="AH37" s="1558">
        <v>0</v>
      </c>
    </row>
    <row r="38" spans="1:34" s="1562" customFormat="1" ht="0.75" hidden="1" customHeight="1">
      <c r="A38" s="1707"/>
      <c r="B38" s="1707"/>
      <c r="C38" s="306" t="s">
        <v>1228</v>
      </c>
      <c r="D38" s="2754"/>
      <c r="E38" s="2558"/>
      <c r="F38" s="2689"/>
      <c r="G38" s="337"/>
      <c r="H38" s="1427"/>
      <c r="I38" s="588"/>
      <c r="J38" s="508"/>
      <c r="K38" s="1427"/>
      <c r="L38" s="151"/>
      <c r="M38" s="2506"/>
      <c r="N38" s="271"/>
      <c r="O38" s="1551"/>
      <c r="P38" s="1551"/>
      <c r="AH38" s="1558">
        <v>0</v>
      </c>
    </row>
    <row r="39" spans="1:34" s="1562" customFormat="1" ht="18.75" hidden="1" customHeight="1">
      <c r="A39" s="1707" t="s">
        <v>251</v>
      </c>
      <c r="B39" s="1707" t="s">
        <v>252</v>
      </c>
      <c r="C39" s="306"/>
      <c r="D39" s="2754"/>
      <c r="E39" s="2558"/>
      <c r="F39" s="2689" t="str">
        <f>INDEX(PT_DIFFERENTIATION_VTAR,MATCH(A39,PT_DIFFERENTIATION_VTAR_ID,0))</f>
        <v>Тарифы на услуги по передаче теплоносителя</v>
      </c>
      <c r="G39" s="2729" t="str">
        <f>INDEX(PT_DIFFERENTIATION_NTAR,MATCH(B39,PT_DIFFERENTIATION_NTAR_ID,0))</f>
        <v/>
      </c>
      <c r="H39" s="1788"/>
      <c r="I39" s="1666"/>
      <c r="J39" s="1700"/>
      <c r="K39" s="1791"/>
      <c r="L39" s="1788" t="s">
        <v>386</v>
      </c>
      <c r="M39" s="2506"/>
      <c r="N39" s="271"/>
      <c r="O39" s="1551"/>
      <c r="P39" s="1551"/>
      <c r="AH39" s="1558">
        <v>0</v>
      </c>
    </row>
    <row r="40" spans="1:34" s="1562" customFormat="1" ht="18.75" hidden="1" customHeight="1">
      <c r="A40" s="1707"/>
      <c r="B40" s="1707"/>
      <c r="C40" s="306" t="s">
        <v>1222</v>
      </c>
      <c r="D40" s="2754"/>
      <c r="E40" s="2558"/>
      <c r="F40" s="2689"/>
      <c r="G40" s="2729"/>
      <c r="H40" s="1427"/>
      <c r="I40" s="588" t="s">
        <v>1223</v>
      </c>
      <c r="J40" s="508"/>
      <c r="K40" s="1427"/>
      <c r="L40" s="151"/>
      <c r="M40" s="2506"/>
      <c r="N40" s="271"/>
      <c r="O40" s="1551"/>
      <c r="P40" s="1551"/>
      <c r="AH40" s="1558">
        <v>0</v>
      </c>
    </row>
    <row r="41" spans="1:34" s="1562" customFormat="1" ht="0.75" hidden="1" customHeight="1">
      <c r="A41" s="1707"/>
      <c r="B41" s="1707"/>
      <c r="C41" s="306" t="s">
        <v>1228</v>
      </c>
      <c r="D41" s="2754"/>
      <c r="E41" s="2558"/>
      <c r="F41" s="2689"/>
      <c r="G41" s="337"/>
      <c r="H41" s="1427"/>
      <c r="I41" s="588"/>
      <c r="J41" s="508"/>
      <c r="K41" s="1427"/>
      <c r="L41" s="151"/>
      <c r="M41" s="2506"/>
      <c r="N41" s="271"/>
      <c r="O41" s="1551"/>
      <c r="P41" s="1551"/>
      <c r="AH41" s="1558">
        <v>0</v>
      </c>
    </row>
    <row r="42" spans="1:34" s="1562" customFormat="1" ht="18.75" hidden="1" customHeight="1">
      <c r="A42" s="1707" t="s">
        <v>257</v>
      </c>
      <c r="B42" s="1707" t="s">
        <v>258</v>
      </c>
      <c r="C42" s="306"/>
      <c r="D42" s="2754"/>
      <c r="E42" s="2558"/>
      <c r="F42" s="26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729" t="str">
        <f>INDEX(PT_DIFFERENTIATION_NTAR,MATCH(B42,PT_DIFFERENTIATION_NTAR_ID,0))</f>
        <v/>
      </c>
      <c r="H42" s="1788"/>
      <c r="I42" s="1666"/>
      <c r="J42" s="1700"/>
      <c r="K42" s="1791"/>
      <c r="L42" s="1788" t="s">
        <v>386</v>
      </c>
      <c r="M42" s="2506"/>
      <c r="N42" s="271"/>
      <c r="O42" s="1551"/>
      <c r="P42" s="1551"/>
      <c r="AH42" s="1558">
        <v>0</v>
      </c>
    </row>
    <row r="43" spans="1:34" s="1562" customFormat="1" ht="18.75" hidden="1" customHeight="1">
      <c r="A43" s="1707"/>
      <c r="B43" s="1707"/>
      <c r="C43" s="306" t="s">
        <v>1222</v>
      </c>
      <c r="D43" s="2754"/>
      <c r="E43" s="2558"/>
      <c r="F43" s="2689"/>
      <c r="G43" s="2729"/>
      <c r="H43" s="1427"/>
      <c r="I43" s="588" t="s">
        <v>1223</v>
      </c>
      <c r="J43" s="508"/>
      <c r="K43" s="1427"/>
      <c r="L43" s="151"/>
      <c r="M43" s="2506"/>
      <c r="N43" s="271"/>
      <c r="O43" s="1551"/>
      <c r="P43" s="1551"/>
      <c r="AH43" s="1558">
        <v>0</v>
      </c>
    </row>
    <row r="44" spans="1:34" s="1562" customFormat="1" ht="0.75" hidden="1" customHeight="1">
      <c r="A44" s="1707"/>
      <c r="B44" s="1707"/>
      <c r="C44" s="306" t="s">
        <v>1228</v>
      </c>
      <c r="D44" s="2754"/>
      <c r="E44" s="2558"/>
      <c r="F44" s="2689"/>
      <c r="G44" s="337"/>
      <c r="H44" s="1427"/>
      <c r="I44" s="588"/>
      <c r="J44" s="508"/>
      <c r="K44" s="1427"/>
      <c r="L44" s="151"/>
      <c r="M44" s="2506"/>
      <c r="N44" s="271"/>
      <c r="O44" s="1551"/>
      <c r="P44" s="1551"/>
      <c r="AH44" s="1558">
        <v>0</v>
      </c>
    </row>
    <row r="45" spans="1:34" s="1562" customFormat="1" ht="18.75" hidden="1" customHeight="1">
      <c r="A45" s="1707" t="s">
        <v>263</v>
      </c>
      <c r="B45" s="1707" t="s">
        <v>264</v>
      </c>
      <c r="C45" s="306"/>
      <c r="D45" s="2754"/>
      <c r="E45" s="2558"/>
      <c r="F45" s="2689" t="str">
        <f>INDEX(PT_DIFFERENTIATION_VTAR,MATCH(A45,PT_DIFFERENTIATION_VTAR_ID,0))</f>
        <v>Плата за подключение (технологическое присоединение) к системе теплоснабжения</v>
      </c>
      <c r="G45" s="2729" t="str">
        <f>INDEX(PT_DIFFERENTIATION_NTAR,MATCH(B45,PT_DIFFERENTIATION_NTAR_ID,0))</f>
        <v/>
      </c>
      <c r="H45" s="1788"/>
      <c r="I45" s="1666"/>
      <c r="J45" s="1700"/>
      <c r="K45" s="1791"/>
      <c r="L45" s="1788" t="s">
        <v>386</v>
      </c>
      <c r="M45" s="2506"/>
      <c r="N45" s="271"/>
      <c r="O45" s="1551"/>
      <c r="P45" s="1551"/>
      <c r="AH45" s="1558">
        <v>0</v>
      </c>
    </row>
    <row r="46" spans="1:34" s="1562" customFormat="1" ht="18.75" hidden="1" customHeight="1">
      <c r="A46" s="1707"/>
      <c r="B46" s="1707"/>
      <c r="C46" s="306" t="s">
        <v>1222</v>
      </c>
      <c r="D46" s="2754"/>
      <c r="E46" s="2558"/>
      <c r="F46" s="2689"/>
      <c r="G46" s="2729"/>
      <c r="H46" s="1427"/>
      <c r="I46" s="588" t="s">
        <v>1223</v>
      </c>
      <c r="J46" s="508"/>
      <c r="K46" s="1427"/>
      <c r="L46" s="151"/>
      <c r="M46" s="2506"/>
      <c r="N46" s="271"/>
      <c r="O46" s="1551"/>
      <c r="P46" s="1551"/>
      <c r="AH46" s="1558">
        <v>0</v>
      </c>
    </row>
    <row r="47" spans="1:34" s="1562" customFormat="1" ht="0.75" hidden="1" customHeight="1">
      <c r="A47" s="1707"/>
      <c r="B47" s="1707"/>
      <c r="C47" s="306" t="s">
        <v>1228</v>
      </c>
      <c r="D47" s="2754"/>
      <c r="E47" s="2558"/>
      <c r="F47" s="2689"/>
      <c r="G47" s="337"/>
      <c r="H47" s="1427"/>
      <c r="I47" s="588"/>
      <c r="J47" s="508"/>
      <c r="K47" s="1427"/>
      <c r="L47" s="151"/>
      <c r="M47" s="2506"/>
      <c r="N47" s="271"/>
      <c r="O47" s="1551"/>
      <c r="P47" s="1551"/>
      <c r="AH47" s="1558">
        <v>0</v>
      </c>
    </row>
    <row r="48" spans="1:34" s="1562" customFormat="1" ht="18.75" hidden="1" customHeight="1">
      <c r="A48" s="1707" t="s">
        <v>269</v>
      </c>
      <c r="B48" s="1707" t="s">
        <v>270</v>
      </c>
      <c r="C48" s="306"/>
      <c r="D48" s="2754"/>
      <c r="E48" s="2558"/>
      <c r="F48" s="2689" t="str">
        <f>INDEX(PT_DIFFERENTIATION_VTAR,MATCH(A48,PT_DIFFERENTIATION_VTAR_ID,0))</f>
        <v>Плата за подключение (технологическое присоединение) к системе теплоснабжения (индивидуальная)</v>
      </c>
      <c r="G48" s="2729" t="str">
        <f>INDEX(PT_DIFFERENTIATION_NTAR,MATCH(B48,PT_DIFFERENTIATION_NTAR_ID,0))</f>
        <v/>
      </c>
      <c r="H48" s="1912"/>
      <c r="I48" s="1666"/>
      <c r="J48" s="1700"/>
      <c r="K48" s="1791"/>
      <c r="L48" s="1912" t="s">
        <v>386</v>
      </c>
      <c r="M48" s="2506"/>
      <c r="N48" s="271"/>
      <c r="O48" s="1551"/>
      <c r="P48" s="1551"/>
      <c r="AH48" s="1558">
        <v>0</v>
      </c>
    </row>
    <row r="49" spans="1:34" s="1562" customFormat="1" ht="18.75" hidden="1" customHeight="1">
      <c r="A49" s="1707"/>
      <c r="B49" s="1707"/>
      <c r="C49" s="306" t="s">
        <v>1222</v>
      </c>
      <c r="D49" s="2754"/>
      <c r="E49" s="2558"/>
      <c r="F49" s="2689"/>
      <c r="G49" s="2729"/>
      <c r="H49" s="1427"/>
      <c r="I49" s="588" t="s">
        <v>1223</v>
      </c>
      <c r="J49" s="508"/>
      <c r="K49" s="1427"/>
      <c r="L49" s="151"/>
      <c r="M49" s="2506"/>
      <c r="N49" s="271"/>
      <c r="O49" s="1551"/>
      <c r="P49" s="1551"/>
      <c r="AH49" s="1558">
        <v>0</v>
      </c>
    </row>
    <row r="50" spans="1:34" s="1562" customFormat="1" ht="0.75" hidden="1" customHeight="1">
      <c r="A50" s="1707"/>
      <c r="B50" s="1707"/>
      <c r="C50" s="306" t="s">
        <v>1228</v>
      </c>
      <c r="D50" s="2754"/>
      <c r="E50" s="2558"/>
      <c r="F50" s="2689"/>
      <c r="G50" s="337"/>
      <c r="H50" s="1427"/>
      <c r="I50" s="588"/>
      <c r="J50" s="508"/>
      <c r="K50" s="1427"/>
      <c r="L50" s="151"/>
      <c r="M50" s="2506"/>
      <c r="N50" s="271"/>
      <c r="O50" s="1551"/>
      <c r="P50" s="1551"/>
      <c r="AH50" s="1558">
        <v>0</v>
      </c>
    </row>
    <row r="51" spans="1:34" s="1562" customFormat="1" ht="18.75" hidden="1" customHeight="1">
      <c r="A51" s="1707" t="s">
        <v>291</v>
      </c>
      <c r="B51" s="1707" t="s">
        <v>292</v>
      </c>
      <c r="C51" s="306"/>
      <c r="D51" s="2754"/>
      <c r="E51" s="2558"/>
      <c r="F51" s="2689" t="str">
        <f>INDEX(PT_DIFFERENTIATION_VTAR,MATCH(A51,PT_DIFFERENTIATION_VTAR_ID,0))</f>
        <v>Тариф на питьевую воду (питьевое водоснабжение)</v>
      </c>
      <c r="G51" s="2729" t="str">
        <f>INDEX(PT_DIFFERENTIATION_NTAR,MATCH(B51,PT_DIFFERENTIATION_NTAR_ID,0))</f>
        <v>Тариф на холодное водоснабжение (питьевая)</v>
      </c>
      <c r="H51" s="1788"/>
      <c r="I51" s="1666"/>
      <c r="J51" s="1700"/>
      <c r="K51" s="1791"/>
      <c r="L51" s="1788" t="s">
        <v>386</v>
      </c>
      <c r="M51" s="2506"/>
      <c r="N51" s="271"/>
      <c r="O51" s="1551"/>
      <c r="P51" s="1551"/>
      <c r="AH51" s="1558">
        <v>0</v>
      </c>
    </row>
    <row r="52" spans="1:34" s="1562" customFormat="1" ht="18.75" hidden="1" customHeight="1">
      <c r="A52" s="1707"/>
      <c r="B52" s="1707"/>
      <c r="C52" s="306" t="s">
        <v>1222</v>
      </c>
      <c r="D52" s="2754"/>
      <c r="E52" s="2558"/>
      <c r="F52" s="2689"/>
      <c r="G52" s="2729"/>
      <c r="H52" s="1427"/>
      <c r="I52" s="588" t="s">
        <v>1223</v>
      </c>
      <c r="J52" s="508"/>
      <c r="K52" s="1427"/>
      <c r="L52" s="151"/>
      <c r="M52" s="2506"/>
      <c r="N52" s="271"/>
      <c r="O52" s="1551"/>
      <c r="P52" s="1551"/>
      <c r="AH52" s="1558">
        <v>0</v>
      </c>
    </row>
    <row r="53" spans="1:34" s="1562" customFormat="1" ht="0.75" hidden="1" customHeight="1">
      <c r="A53" s="1707"/>
      <c r="B53" s="1707"/>
      <c r="C53" s="306" t="s">
        <v>1228</v>
      </c>
      <c r="D53" s="2754"/>
      <c r="E53" s="2558"/>
      <c r="F53" s="2689"/>
      <c r="G53" s="337"/>
      <c r="H53" s="1427"/>
      <c r="I53" s="588"/>
      <c r="J53" s="508"/>
      <c r="K53" s="1427"/>
      <c r="L53" s="151"/>
      <c r="M53" s="2506"/>
      <c r="N53" s="271"/>
      <c r="O53" s="1551"/>
      <c r="P53" s="1551"/>
      <c r="AH53" s="1558">
        <v>0</v>
      </c>
    </row>
    <row r="54" spans="1:34" s="1562" customFormat="1" ht="18.75" hidden="1" customHeight="1">
      <c r="A54" s="1707" t="s">
        <v>304</v>
      </c>
      <c r="B54" s="1707" t="s">
        <v>305</v>
      </c>
      <c r="C54" s="306"/>
      <c r="D54" s="2754"/>
      <c r="E54" s="2558"/>
      <c r="F54" s="2689" t="str">
        <f>INDEX(PT_DIFFERENTIATION_VTAR,MATCH(A54,PT_DIFFERENTIATION_VTAR_ID,0))</f>
        <v>Тариф на техническую воду</v>
      </c>
      <c r="G54" s="2729" t="str">
        <f>INDEX(PT_DIFFERENTIATION_NTAR,MATCH(B54,PT_DIFFERENTIATION_NTAR_ID,0))</f>
        <v>Тариф на холодное водоснабжение (техническая)</v>
      </c>
      <c r="H54" s="1788"/>
      <c r="I54" s="1666"/>
      <c r="J54" s="1700"/>
      <c r="K54" s="1791"/>
      <c r="L54" s="1788" t="s">
        <v>386</v>
      </c>
      <c r="M54" s="2506"/>
      <c r="N54" s="271"/>
      <c r="O54" s="1551"/>
      <c r="P54" s="1551"/>
      <c r="AH54" s="1558">
        <v>0</v>
      </c>
    </row>
    <row r="55" spans="1:34" s="1562" customFormat="1" ht="18.75" hidden="1" customHeight="1">
      <c r="A55" s="1707"/>
      <c r="B55" s="1707"/>
      <c r="C55" s="306" t="s">
        <v>1222</v>
      </c>
      <c r="D55" s="2754"/>
      <c r="E55" s="2558"/>
      <c r="F55" s="2689"/>
      <c r="G55" s="2729"/>
      <c r="H55" s="1427"/>
      <c r="I55" s="588" t="s">
        <v>1223</v>
      </c>
      <c r="J55" s="508"/>
      <c r="K55" s="1427"/>
      <c r="L55" s="151"/>
      <c r="M55" s="2506"/>
      <c r="N55" s="271"/>
      <c r="O55" s="1551"/>
      <c r="P55" s="1551"/>
      <c r="AH55" s="1558">
        <v>0</v>
      </c>
    </row>
    <row r="56" spans="1:34" s="1562" customFormat="1" ht="0.75" hidden="1" customHeight="1">
      <c r="A56" s="1707"/>
      <c r="B56" s="1707"/>
      <c r="C56" s="306" t="s">
        <v>1228</v>
      </c>
      <c r="D56" s="2754"/>
      <c r="E56" s="2558"/>
      <c r="F56" s="2689"/>
      <c r="G56" s="337"/>
      <c r="H56" s="1427"/>
      <c r="I56" s="588"/>
      <c r="J56" s="508"/>
      <c r="K56" s="1427"/>
      <c r="L56" s="151"/>
      <c r="M56" s="2506"/>
      <c r="N56" s="271"/>
      <c r="O56" s="1551"/>
      <c r="P56" s="1551"/>
      <c r="AH56" s="1558">
        <v>0</v>
      </c>
    </row>
    <row r="57" spans="1:34" s="1562" customFormat="1" ht="18.75" hidden="1" customHeight="1">
      <c r="A57" s="1707" t="s">
        <v>315</v>
      </c>
      <c r="B57" s="1707" t="s">
        <v>316</v>
      </c>
      <c r="C57" s="306"/>
      <c r="D57" s="2754"/>
      <c r="E57" s="2558"/>
      <c r="F57" s="2689" t="str">
        <f>INDEX(PT_DIFFERENTIATION_VTAR,MATCH(A57,PT_DIFFERENTIATION_VTAR_ID,0))</f>
        <v>Тариф на транспортировку воды</v>
      </c>
      <c r="G57" s="2729" t="str">
        <f>INDEX(PT_DIFFERENTIATION_NTAR,MATCH(B57,PT_DIFFERENTIATION_NTAR_ID,0))</f>
        <v/>
      </c>
      <c r="H57" s="1788"/>
      <c r="I57" s="1666"/>
      <c r="J57" s="1700"/>
      <c r="K57" s="1791"/>
      <c r="L57" s="1788" t="s">
        <v>386</v>
      </c>
      <c r="M57" s="2506"/>
      <c r="N57" s="271"/>
      <c r="O57" s="1551"/>
      <c r="P57" s="1551"/>
      <c r="AH57" s="1558">
        <v>0</v>
      </c>
    </row>
    <row r="58" spans="1:34" s="1562" customFormat="1" ht="18.75" hidden="1" customHeight="1">
      <c r="A58" s="1707"/>
      <c r="B58" s="1707"/>
      <c r="C58" s="306" t="s">
        <v>1222</v>
      </c>
      <c r="D58" s="2754"/>
      <c r="E58" s="2558"/>
      <c r="F58" s="2689"/>
      <c r="G58" s="2729"/>
      <c r="H58" s="1427"/>
      <c r="I58" s="588" t="s">
        <v>1223</v>
      </c>
      <c r="J58" s="508"/>
      <c r="K58" s="1427"/>
      <c r="L58" s="151"/>
      <c r="M58" s="2506"/>
      <c r="N58" s="271"/>
      <c r="O58" s="1551"/>
      <c r="P58" s="1551"/>
      <c r="AH58" s="1558">
        <v>0</v>
      </c>
    </row>
    <row r="59" spans="1:34" s="1562" customFormat="1" ht="0.75" hidden="1" customHeight="1">
      <c r="A59" s="1707"/>
      <c r="B59" s="1707"/>
      <c r="C59" s="306" t="s">
        <v>1228</v>
      </c>
      <c r="D59" s="2754"/>
      <c r="E59" s="2558"/>
      <c r="F59" s="2689"/>
      <c r="G59" s="337"/>
      <c r="H59" s="1427"/>
      <c r="I59" s="588"/>
      <c r="J59" s="508"/>
      <c r="K59" s="1427"/>
      <c r="L59" s="151"/>
      <c r="M59" s="2506"/>
      <c r="N59" s="271"/>
      <c r="O59" s="1551"/>
      <c r="P59" s="1551"/>
      <c r="AH59" s="1558">
        <v>0</v>
      </c>
    </row>
    <row r="60" spans="1:34" s="1562" customFormat="1" ht="18.75" hidden="1" customHeight="1">
      <c r="A60" s="1707" t="s">
        <v>320</v>
      </c>
      <c r="B60" s="1707" t="s">
        <v>321</v>
      </c>
      <c r="C60" s="306"/>
      <c r="D60" s="2754"/>
      <c r="E60" s="2558"/>
      <c r="F60" s="2689" t="str">
        <f>INDEX(PT_DIFFERENTIATION_VTAR,MATCH(A60,PT_DIFFERENTIATION_VTAR_ID,0))</f>
        <v>Тариф на подвоз воды</v>
      </c>
      <c r="G60" s="2729" t="str">
        <f>INDEX(PT_DIFFERENTIATION_NTAR,MATCH(B60,PT_DIFFERENTIATION_NTAR_ID,0))</f>
        <v/>
      </c>
      <c r="H60" s="1788"/>
      <c r="I60" s="1666"/>
      <c r="J60" s="1700"/>
      <c r="K60" s="1791"/>
      <c r="L60" s="1788" t="s">
        <v>386</v>
      </c>
      <c r="M60" s="2506"/>
      <c r="N60" s="271"/>
      <c r="O60" s="1551"/>
      <c r="P60" s="1551"/>
      <c r="AH60" s="1558">
        <v>0</v>
      </c>
    </row>
    <row r="61" spans="1:34" s="1562" customFormat="1" ht="18.75" hidden="1" customHeight="1">
      <c r="A61" s="1707"/>
      <c r="B61" s="1707"/>
      <c r="C61" s="306" t="s">
        <v>1222</v>
      </c>
      <c r="D61" s="2754"/>
      <c r="E61" s="2558"/>
      <c r="F61" s="2689"/>
      <c r="G61" s="2729"/>
      <c r="H61" s="1427"/>
      <c r="I61" s="588" t="s">
        <v>1223</v>
      </c>
      <c r="J61" s="508"/>
      <c r="K61" s="1427"/>
      <c r="L61" s="151"/>
      <c r="M61" s="2506"/>
      <c r="N61" s="271"/>
      <c r="O61" s="1551"/>
      <c r="P61" s="1551"/>
      <c r="AH61" s="1558">
        <v>0</v>
      </c>
    </row>
    <row r="62" spans="1:34" s="1562" customFormat="1" ht="0.75" hidden="1" customHeight="1">
      <c r="A62" s="1707"/>
      <c r="B62" s="1707"/>
      <c r="C62" s="306" t="s">
        <v>1228</v>
      </c>
      <c r="D62" s="2754"/>
      <c r="E62" s="2558"/>
      <c r="F62" s="2689"/>
      <c r="G62" s="337"/>
      <c r="H62" s="1427"/>
      <c r="I62" s="588"/>
      <c r="J62" s="508"/>
      <c r="K62" s="1427"/>
      <c r="L62" s="151"/>
      <c r="M62" s="2506"/>
      <c r="N62" s="271"/>
      <c r="O62" s="1551"/>
      <c r="P62" s="1551"/>
      <c r="AH62" s="1558">
        <v>0</v>
      </c>
    </row>
    <row r="63" spans="1:34" s="1562" customFormat="1" ht="18.75" hidden="1" customHeight="1">
      <c r="A63" s="1707" t="s">
        <v>325</v>
      </c>
      <c r="B63" s="1707" t="s">
        <v>326</v>
      </c>
      <c r="C63" s="306"/>
      <c r="D63" s="2754"/>
      <c r="E63" s="2558"/>
      <c r="F63" s="26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29" t="str">
        <f>INDEX(PT_DIFFERENTIATION_NTAR,MATCH(B63,PT_DIFFERENTIATION_NTAR_ID,0))</f>
        <v/>
      </c>
      <c r="H63" s="1788"/>
      <c r="I63" s="1666"/>
      <c r="J63" s="1700"/>
      <c r="K63" s="1791"/>
      <c r="L63" s="1788" t="s">
        <v>386</v>
      </c>
      <c r="M63" s="2506"/>
      <c r="N63" s="271"/>
      <c r="O63" s="1551"/>
      <c r="P63" s="1551"/>
      <c r="AH63" s="1558">
        <v>0</v>
      </c>
    </row>
    <row r="64" spans="1:34" s="1562" customFormat="1" ht="18.75" hidden="1" customHeight="1">
      <c r="A64" s="1707"/>
      <c r="B64" s="1707"/>
      <c r="C64" s="306" t="s">
        <v>1222</v>
      </c>
      <c r="D64" s="2754"/>
      <c r="E64" s="2558"/>
      <c r="F64" s="2689"/>
      <c r="G64" s="2729"/>
      <c r="H64" s="1427"/>
      <c r="I64" s="588" t="s">
        <v>1223</v>
      </c>
      <c r="J64" s="508"/>
      <c r="K64" s="1427"/>
      <c r="L64" s="151"/>
      <c r="M64" s="2506"/>
      <c r="N64" s="271"/>
      <c r="O64" s="1551"/>
      <c r="P64" s="1551"/>
      <c r="AH64" s="1558">
        <v>0</v>
      </c>
    </row>
    <row r="65" spans="1:34" s="1562" customFormat="1" ht="0.75" hidden="1" customHeight="1">
      <c r="A65" s="1707"/>
      <c r="B65" s="1707"/>
      <c r="C65" s="306" t="s">
        <v>1228</v>
      </c>
      <c r="D65" s="2754"/>
      <c r="E65" s="2558"/>
      <c r="F65" s="2689"/>
      <c r="G65" s="337"/>
      <c r="H65" s="1427"/>
      <c r="I65" s="588"/>
      <c r="J65" s="508"/>
      <c r="K65" s="1427"/>
      <c r="L65" s="151"/>
      <c r="M65" s="2506"/>
      <c r="N65" s="271"/>
      <c r="O65" s="1551"/>
      <c r="P65" s="1551"/>
      <c r="AH65" s="1558">
        <v>0</v>
      </c>
    </row>
    <row r="66" spans="1:34" s="1562" customFormat="1" ht="18.75" hidden="1" customHeight="1">
      <c r="A66" s="1707" t="s">
        <v>330</v>
      </c>
      <c r="B66" s="1707" t="s">
        <v>331</v>
      </c>
      <c r="C66" s="306"/>
      <c r="D66" s="2754"/>
      <c r="E66" s="2558"/>
      <c r="F66" s="2689" t="str">
        <f>INDEX(PT_DIFFERENTIATION_VTAR,MATCH(A66,PT_DIFFERENTIATION_VTAR_ID,0))</f>
        <v>Тариф на горячую воду (горячее водоснабжение)</v>
      </c>
      <c r="G66" s="2729" t="str">
        <f>INDEX(PT_DIFFERENTIATION_NTAR,MATCH(B66,PT_DIFFERENTIATION_NTAR_ID,0))</f>
        <v/>
      </c>
      <c r="H66" s="1788"/>
      <c r="I66" s="1666"/>
      <c r="J66" s="1700"/>
      <c r="K66" s="1791"/>
      <c r="L66" s="1788" t="s">
        <v>386</v>
      </c>
      <c r="M66" s="2506"/>
      <c r="N66" s="271"/>
      <c r="O66" s="1551"/>
      <c r="P66" s="1551"/>
      <c r="AH66" s="1558">
        <v>0</v>
      </c>
    </row>
    <row r="67" spans="1:34" s="1562" customFormat="1" ht="18.75" hidden="1" customHeight="1">
      <c r="A67" s="1707"/>
      <c r="B67" s="1707"/>
      <c r="C67" s="306" t="s">
        <v>1222</v>
      </c>
      <c r="D67" s="2754"/>
      <c r="E67" s="2558"/>
      <c r="F67" s="2689"/>
      <c r="G67" s="2729"/>
      <c r="H67" s="1427"/>
      <c r="I67" s="588" t="s">
        <v>1223</v>
      </c>
      <c r="J67" s="508"/>
      <c r="K67" s="1427"/>
      <c r="L67" s="151"/>
      <c r="M67" s="2506"/>
      <c r="N67" s="271"/>
      <c r="O67" s="1551"/>
      <c r="P67" s="1551"/>
      <c r="AH67" s="1558">
        <v>0</v>
      </c>
    </row>
    <row r="68" spans="1:34" s="1562" customFormat="1" ht="0.75" hidden="1" customHeight="1">
      <c r="A68" s="1707"/>
      <c r="B68" s="1707"/>
      <c r="C68" s="306" t="s">
        <v>1228</v>
      </c>
      <c r="D68" s="2754"/>
      <c r="E68" s="2558"/>
      <c r="F68" s="2689"/>
      <c r="G68" s="337"/>
      <c r="H68" s="1427"/>
      <c r="I68" s="588"/>
      <c r="J68" s="508"/>
      <c r="K68" s="1427"/>
      <c r="L68" s="151"/>
      <c r="M68" s="2506"/>
      <c r="N68" s="271"/>
      <c r="O68" s="1551"/>
      <c r="P68" s="1551"/>
      <c r="AH68" s="1558">
        <v>0</v>
      </c>
    </row>
    <row r="69" spans="1:34" s="1562" customFormat="1" ht="18.75" hidden="1" customHeight="1">
      <c r="A69" s="1707" t="s">
        <v>335</v>
      </c>
      <c r="B69" s="1707" t="s">
        <v>336</v>
      </c>
      <c r="C69" s="306"/>
      <c r="D69" s="2754"/>
      <c r="E69" s="2558"/>
      <c r="F69" s="2689" t="str">
        <f>INDEX(PT_DIFFERENTIATION_VTAR,MATCH(A69,PT_DIFFERENTIATION_VTAR_ID,0))</f>
        <v>Тариф на транспортировку горячей воды</v>
      </c>
      <c r="G69" s="2729" t="str">
        <f>INDEX(PT_DIFFERENTIATION_NTAR,MATCH(B69,PT_DIFFERENTIATION_NTAR_ID,0))</f>
        <v/>
      </c>
      <c r="H69" s="1788"/>
      <c r="I69" s="1666"/>
      <c r="J69" s="1700"/>
      <c r="K69" s="1791"/>
      <c r="L69" s="1788" t="s">
        <v>386</v>
      </c>
      <c r="M69" s="2506"/>
      <c r="N69" s="271"/>
      <c r="O69" s="1551"/>
      <c r="P69" s="1551"/>
      <c r="AH69" s="1558">
        <v>0</v>
      </c>
    </row>
    <row r="70" spans="1:34" s="1562" customFormat="1" ht="18.75" hidden="1" customHeight="1">
      <c r="A70" s="1707"/>
      <c r="B70" s="1707"/>
      <c r="C70" s="306" t="s">
        <v>1222</v>
      </c>
      <c r="D70" s="2754"/>
      <c r="E70" s="2558"/>
      <c r="F70" s="2689"/>
      <c r="G70" s="2729"/>
      <c r="H70" s="1427"/>
      <c r="I70" s="588" t="s">
        <v>1223</v>
      </c>
      <c r="J70" s="508"/>
      <c r="K70" s="1427"/>
      <c r="L70" s="151"/>
      <c r="M70" s="2506"/>
      <c r="N70" s="271"/>
      <c r="O70" s="1551"/>
      <c r="P70" s="1551"/>
      <c r="AH70" s="1558">
        <v>0</v>
      </c>
    </row>
    <row r="71" spans="1:34" s="1562" customFormat="1" ht="0.75" hidden="1" customHeight="1">
      <c r="A71" s="1707"/>
      <c r="B71" s="1707"/>
      <c r="C71" s="306" t="s">
        <v>1228</v>
      </c>
      <c r="D71" s="2754"/>
      <c r="E71" s="2558"/>
      <c r="F71" s="2689"/>
      <c r="G71" s="337"/>
      <c r="H71" s="1427"/>
      <c r="I71" s="588"/>
      <c r="J71" s="508"/>
      <c r="K71" s="1427"/>
      <c r="L71" s="151"/>
      <c r="M71" s="2506"/>
      <c r="N71" s="271"/>
      <c r="O71" s="1551"/>
      <c r="P71" s="1551"/>
      <c r="AH71" s="1558">
        <v>0</v>
      </c>
    </row>
    <row r="72" spans="1:34" s="1562" customFormat="1" ht="18.75" hidden="1" customHeight="1">
      <c r="A72" s="1707" t="s">
        <v>340</v>
      </c>
      <c r="B72" s="1707" t="s">
        <v>341</v>
      </c>
      <c r="C72" s="306"/>
      <c r="D72" s="2754"/>
      <c r="E72" s="2558"/>
      <c r="F72" s="2689" t="str">
        <f>INDEX(PT_DIFFERENTIATION_VTAR,MATCH(A72,PT_DIFFERENTIATION_VTAR_ID,0))</f>
        <v>Тариф на подключение (технологическое присоединение) к централизованной системе горячего водоснабжения</v>
      </c>
      <c r="G72" s="2729" t="str">
        <f>INDEX(PT_DIFFERENTIATION_NTAR,MATCH(B72,PT_DIFFERENTIATION_NTAR_ID,0))</f>
        <v/>
      </c>
      <c r="H72" s="1788"/>
      <c r="I72" s="1666"/>
      <c r="J72" s="1700"/>
      <c r="K72" s="1791"/>
      <c r="L72" s="1788" t="s">
        <v>386</v>
      </c>
      <c r="M72" s="2506"/>
      <c r="N72" s="271"/>
      <c r="O72" s="1551"/>
      <c r="P72" s="1551"/>
      <c r="AH72" s="1558">
        <v>0</v>
      </c>
    </row>
    <row r="73" spans="1:34" s="1562" customFormat="1" ht="18.75" hidden="1" customHeight="1">
      <c r="A73" s="1707"/>
      <c r="B73" s="1707"/>
      <c r="C73" s="306" t="s">
        <v>1222</v>
      </c>
      <c r="D73" s="2754"/>
      <c r="E73" s="2558"/>
      <c r="F73" s="2689"/>
      <c r="G73" s="2729"/>
      <c r="H73" s="1427"/>
      <c r="I73" s="588" t="s">
        <v>1223</v>
      </c>
      <c r="J73" s="508"/>
      <c r="K73" s="1427"/>
      <c r="L73" s="151"/>
      <c r="M73" s="2506"/>
      <c r="N73" s="271"/>
      <c r="O73" s="1551"/>
      <c r="P73" s="1551"/>
      <c r="AH73" s="1558">
        <v>0</v>
      </c>
    </row>
    <row r="74" spans="1:34" s="1562" customFormat="1" ht="0.75" hidden="1" customHeight="1">
      <c r="A74" s="1707"/>
      <c r="B74" s="1707"/>
      <c r="C74" s="306" t="s">
        <v>1228</v>
      </c>
      <c r="D74" s="2754"/>
      <c r="E74" s="2558"/>
      <c r="F74" s="2689"/>
      <c r="G74" s="337"/>
      <c r="H74" s="1427"/>
      <c r="I74" s="588"/>
      <c r="J74" s="508"/>
      <c r="K74" s="1427"/>
      <c r="L74" s="151"/>
      <c r="M74" s="2506"/>
      <c r="N74" s="271"/>
      <c r="O74" s="1551"/>
      <c r="P74" s="1551"/>
      <c r="AH74" s="1558">
        <v>0</v>
      </c>
    </row>
    <row r="75" spans="1:34" s="1562" customFormat="1" ht="18.75" hidden="1" customHeight="1">
      <c r="A75" s="1707" t="s">
        <v>345</v>
      </c>
      <c r="B75" s="1707" t="s">
        <v>346</v>
      </c>
      <c r="C75" s="306"/>
      <c r="D75" s="2754"/>
      <c r="E75" s="2558"/>
      <c r="F75" s="2689" t="str">
        <f>INDEX(PT_DIFFERENTIATION_VTAR,MATCH(A75,PT_DIFFERENTIATION_VTAR_ID,0))</f>
        <v>Тариф на водоотведение</v>
      </c>
      <c r="G75" s="2729" t="str">
        <f>INDEX(PT_DIFFERENTIATION_NTAR,MATCH(B75,PT_DIFFERENTIATION_NTAR_ID,0))</f>
        <v/>
      </c>
      <c r="H75" s="1788"/>
      <c r="I75" s="1666"/>
      <c r="J75" s="1700"/>
      <c r="K75" s="1791"/>
      <c r="L75" s="1788" t="s">
        <v>386</v>
      </c>
      <c r="M75" s="2506"/>
      <c r="N75" s="271"/>
      <c r="O75" s="1551"/>
      <c r="P75" s="1551"/>
      <c r="AH75" s="1558">
        <v>0</v>
      </c>
    </row>
    <row r="76" spans="1:34" s="1562" customFormat="1" ht="18.75" hidden="1" customHeight="1">
      <c r="A76" s="1707"/>
      <c r="B76" s="1707"/>
      <c r="C76" s="306" t="s">
        <v>1222</v>
      </c>
      <c r="D76" s="2754"/>
      <c r="E76" s="2558"/>
      <c r="F76" s="2689"/>
      <c r="G76" s="2729"/>
      <c r="H76" s="1427"/>
      <c r="I76" s="588" t="s">
        <v>1223</v>
      </c>
      <c r="J76" s="508"/>
      <c r="K76" s="1427"/>
      <c r="L76" s="151"/>
      <c r="M76" s="2506"/>
      <c r="N76" s="271"/>
      <c r="O76" s="1551"/>
      <c r="P76" s="1551"/>
      <c r="AH76" s="1558">
        <v>0</v>
      </c>
    </row>
    <row r="77" spans="1:34" s="1562" customFormat="1" ht="0.75" hidden="1" customHeight="1">
      <c r="A77" s="1707"/>
      <c r="B77" s="1707"/>
      <c r="C77" s="306" t="s">
        <v>1228</v>
      </c>
      <c r="D77" s="2754"/>
      <c r="E77" s="2558"/>
      <c r="F77" s="2689"/>
      <c r="G77" s="337"/>
      <c r="H77" s="1427"/>
      <c r="I77" s="588"/>
      <c r="J77" s="508"/>
      <c r="K77" s="1427"/>
      <c r="L77" s="151"/>
      <c r="M77" s="2506"/>
      <c r="N77" s="271"/>
      <c r="O77" s="1551"/>
      <c r="P77" s="1551"/>
      <c r="AH77" s="1558">
        <v>0</v>
      </c>
    </row>
    <row r="78" spans="1:34" s="1562" customFormat="1" ht="18.75" hidden="1" customHeight="1">
      <c r="A78" s="1707" t="s">
        <v>350</v>
      </c>
      <c r="B78" s="1707" t="s">
        <v>351</v>
      </c>
      <c r="C78" s="306"/>
      <c r="D78" s="2754"/>
      <c r="E78" s="2558"/>
      <c r="F78" s="2689" t="str">
        <f>INDEX(PT_DIFFERENTIATION_VTAR,MATCH(A78,PT_DIFFERENTIATION_VTAR_ID,0))</f>
        <v>Тариф на транспортировку сточных вод</v>
      </c>
      <c r="G78" s="2729" t="str">
        <f>INDEX(PT_DIFFERENTIATION_NTAR,MATCH(B78,PT_DIFFERENTIATION_NTAR_ID,0))</f>
        <v/>
      </c>
      <c r="H78" s="1788"/>
      <c r="I78" s="1666"/>
      <c r="J78" s="1700"/>
      <c r="K78" s="1791"/>
      <c r="L78" s="1788" t="s">
        <v>386</v>
      </c>
      <c r="M78" s="2506"/>
      <c r="N78" s="271"/>
      <c r="O78" s="1551"/>
      <c r="P78" s="1551"/>
      <c r="AH78" s="1558">
        <v>0</v>
      </c>
    </row>
    <row r="79" spans="1:34" s="1562" customFormat="1" ht="18.75" hidden="1" customHeight="1">
      <c r="A79" s="1707"/>
      <c r="B79" s="1707"/>
      <c r="C79" s="306" t="s">
        <v>1222</v>
      </c>
      <c r="D79" s="2754"/>
      <c r="E79" s="2558"/>
      <c r="F79" s="2689"/>
      <c r="G79" s="2729"/>
      <c r="H79" s="1427"/>
      <c r="I79" s="588" t="s">
        <v>1223</v>
      </c>
      <c r="J79" s="508"/>
      <c r="K79" s="1427"/>
      <c r="L79" s="151"/>
      <c r="M79" s="2506"/>
      <c r="N79" s="271"/>
      <c r="O79" s="1551"/>
      <c r="P79" s="1551"/>
      <c r="AH79" s="1558">
        <v>0</v>
      </c>
    </row>
    <row r="80" spans="1:34" s="1562" customFormat="1" ht="0.75" hidden="1" customHeight="1">
      <c r="A80" s="1707"/>
      <c r="B80" s="1707"/>
      <c r="C80" s="306" t="s">
        <v>1228</v>
      </c>
      <c r="D80" s="2754"/>
      <c r="E80" s="2558"/>
      <c r="F80" s="2689"/>
      <c r="G80" s="337"/>
      <c r="H80" s="1427"/>
      <c r="I80" s="588"/>
      <c r="J80" s="508"/>
      <c r="K80" s="1427"/>
      <c r="L80" s="151"/>
      <c r="M80" s="2506"/>
      <c r="N80" s="271"/>
      <c r="O80" s="1551"/>
      <c r="P80" s="1551"/>
      <c r="AH80" s="1558">
        <v>0</v>
      </c>
    </row>
    <row r="81" spans="1:34" s="1562" customFormat="1" ht="18.75" hidden="1" customHeight="1">
      <c r="A81" s="1707" t="s">
        <v>355</v>
      </c>
      <c r="B81" s="1707" t="s">
        <v>356</v>
      </c>
      <c r="C81" s="306"/>
      <c r="D81" s="2754"/>
      <c r="E81" s="2558"/>
      <c r="F81" s="2689" t="str">
        <f>INDEX(PT_DIFFERENTIATION_VTAR,MATCH(A81,PT_DIFFERENTIATION_VTAR_ID,0))</f>
        <v>Тариф на подключение (технологическое присоединение) к централизованной системе водоотведения</v>
      </c>
      <c r="G81" s="2729" t="str">
        <f>INDEX(PT_DIFFERENTIATION_NTAR,MATCH(B81,PT_DIFFERENTIATION_NTAR_ID,0))</f>
        <v/>
      </c>
      <c r="H81" s="1788"/>
      <c r="I81" s="1666"/>
      <c r="J81" s="1700"/>
      <c r="K81" s="1791"/>
      <c r="L81" s="1788" t="s">
        <v>386</v>
      </c>
      <c r="M81" s="2506"/>
      <c r="N81" s="271"/>
      <c r="O81" s="1551"/>
      <c r="P81" s="1551"/>
      <c r="AH81" s="1558">
        <v>0</v>
      </c>
    </row>
    <row r="82" spans="1:34" s="1562" customFormat="1" ht="18.75" hidden="1" customHeight="1">
      <c r="A82" s="1707"/>
      <c r="B82" s="1707"/>
      <c r="C82" s="306" t="s">
        <v>1222</v>
      </c>
      <c r="D82" s="2754"/>
      <c r="E82" s="2558"/>
      <c r="F82" s="2689"/>
      <c r="G82" s="2729"/>
      <c r="H82" s="1427"/>
      <c r="I82" s="588" t="s">
        <v>1223</v>
      </c>
      <c r="J82" s="508"/>
      <c r="K82" s="1427"/>
      <c r="L82" s="151"/>
      <c r="M82" s="2506"/>
      <c r="N82" s="271"/>
      <c r="O82" s="1551"/>
      <c r="P82" s="1551"/>
      <c r="AH82" s="1558">
        <v>0</v>
      </c>
    </row>
    <row r="83" spans="1:34" s="1562" customFormat="1" ht="1.1499999999999999" customHeight="1">
      <c r="A83" s="1707"/>
      <c r="B83" s="1707"/>
      <c r="C83" s="306" t="s">
        <v>1228</v>
      </c>
      <c r="D83" s="2754"/>
      <c r="E83" s="2558"/>
      <c r="F83" s="2689"/>
      <c r="G83" s="337"/>
      <c r="H83" s="1427"/>
      <c r="I83" s="588"/>
      <c r="J83" s="508"/>
      <c r="K83" s="1427"/>
      <c r="L83" s="151"/>
      <c r="M83" s="2506"/>
      <c r="N83" s="271"/>
      <c r="O83" s="1551"/>
      <c r="P83" s="1551"/>
      <c r="AH83" s="1558">
        <v>1</v>
      </c>
    </row>
    <row r="84" spans="1:34" ht="19.899999999999999" customHeight="1">
      <c r="A84" s="1707"/>
      <c r="B84" s="1707"/>
      <c r="D84" s="313"/>
      <c r="E84" s="84" t="s">
        <v>102</v>
      </c>
      <c r="F84" s="275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753"/>
      <c r="H84" s="2753"/>
      <c r="I84" s="2753"/>
      <c r="J84" s="2753"/>
      <c r="K84" s="2753"/>
      <c r="L84" s="2753"/>
      <c r="M84" s="234"/>
      <c r="N84" s="271"/>
      <c r="AH84" s="311">
        <v>19</v>
      </c>
    </row>
    <row r="85" spans="1:34" ht="35.65" customHeight="1">
      <c r="A85" s="1707"/>
      <c r="B85" s="1707"/>
      <c r="D85" s="313"/>
      <c r="E85" s="336"/>
      <c r="F85" s="135" t="s">
        <v>386</v>
      </c>
      <c r="G85" s="135" t="s">
        <v>386</v>
      </c>
      <c r="H85" s="2568" t="s">
        <v>386</v>
      </c>
      <c r="I85" s="2581"/>
      <c r="J85" s="135" t="s">
        <v>386</v>
      </c>
      <c r="K85" s="135" t="s">
        <v>386</v>
      </c>
      <c r="L85" s="338"/>
      <c r="M85" s="282" t="s">
        <v>1229</v>
      </c>
      <c r="N85" s="271"/>
      <c r="AH85" s="311">
        <v>34</v>
      </c>
    </row>
    <row r="86" spans="1:34" ht="19.899999999999999" customHeight="1">
      <c r="A86" s="1707"/>
      <c r="B86" s="1707"/>
      <c r="D86" s="313"/>
      <c r="E86" s="84" t="s">
        <v>90</v>
      </c>
      <c r="F86" s="2753" t="s">
        <v>1230</v>
      </c>
      <c r="G86" s="2753"/>
      <c r="H86" s="2753"/>
      <c r="I86" s="2753"/>
      <c r="J86" s="2753"/>
      <c r="K86" s="2753"/>
      <c r="L86" s="2753"/>
      <c r="M86" s="234"/>
      <c r="N86" s="271"/>
      <c r="AH86" s="311">
        <v>19</v>
      </c>
    </row>
    <row r="87" spans="1:34" s="1562" customFormat="1" ht="60.75" hidden="1" customHeight="1">
      <c r="A87" s="1707" t="s">
        <v>221</v>
      </c>
      <c r="B87" s="1707" t="s">
        <v>222</v>
      </c>
      <c r="C87" s="306"/>
      <c r="D87" s="2754"/>
      <c r="E87" s="2558"/>
      <c r="F87" s="26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29" t="str">
        <f>INDEX(PT_DIFFERENTIATION_NTAR,MATCH(B87,PT_DIFFERENTIATION_NTAR_ID,0))</f>
        <v/>
      </c>
      <c r="H87" s="1788"/>
      <c r="I87" s="1666"/>
      <c r="J87" s="1700"/>
      <c r="K87" s="1705"/>
      <c r="L87" s="1788" t="s">
        <v>386</v>
      </c>
      <c r="M87" s="25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1224</v>
      </c>
      <c r="D88" s="2754"/>
      <c r="E88" s="2558"/>
      <c r="F88" s="2689"/>
      <c r="G88" s="2729"/>
      <c r="H88" s="1427"/>
      <c r="I88" s="588" t="s">
        <v>1223</v>
      </c>
      <c r="J88" s="508"/>
      <c r="K88" s="1427"/>
      <c r="L88" s="151"/>
      <c r="M88" s="2506"/>
      <c r="N88" s="271"/>
      <c r="O88" s="1551"/>
      <c r="P88" s="1551"/>
      <c r="AH88" s="1558">
        <v>0</v>
      </c>
    </row>
    <row r="89" spans="1:34" s="1562" customFormat="1" ht="0.75" hidden="1" customHeight="1">
      <c r="A89" s="1707"/>
      <c r="B89" s="1707"/>
      <c r="C89" s="306" t="s">
        <v>1231</v>
      </c>
      <c r="D89" s="2754"/>
      <c r="E89" s="2558"/>
      <c r="F89" s="2689"/>
      <c r="G89" s="337"/>
      <c r="H89" s="1427"/>
      <c r="I89" s="588"/>
      <c r="J89" s="508"/>
      <c r="K89" s="1427"/>
      <c r="L89" s="151"/>
      <c r="M89" s="2506"/>
      <c r="N89" s="271"/>
      <c r="O89" s="1551"/>
      <c r="P89" s="1551"/>
      <c r="AH89" s="1558">
        <v>0</v>
      </c>
    </row>
    <row r="90" spans="1:34" s="1562" customFormat="1" ht="45" hidden="1" customHeight="1">
      <c r="A90" s="1707" t="s">
        <v>226</v>
      </c>
      <c r="B90" s="1707" t="s">
        <v>227</v>
      </c>
      <c r="C90" s="306"/>
      <c r="D90" s="2754"/>
      <c r="E90" s="2558"/>
      <c r="F90" s="2689" t="str">
        <f>INDEX(PT_DIFFERENTIATION_VTAR,MATCH(A90,PT_DIFFERENTIATION_VTAR_ID,0))</f>
        <v/>
      </c>
      <c r="G90" s="2729" t="str">
        <f>INDEX(PT_DIFFERENTIATION_NTAR,MATCH(B90,PT_DIFFERENTIATION_NTAR_ID,0))</f>
        <v/>
      </c>
      <c r="H90" s="1788"/>
      <c r="I90" s="1666"/>
      <c r="J90" s="1700"/>
      <c r="K90" s="1705"/>
      <c r="L90" s="1788" t="s">
        <v>386</v>
      </c>
      <c r="M90" s="2507"/>
      <c r="N90" s="271"/>
      <c r="O90" s="1551"/>
      <c r="P90" s="1551"/>
      <c r="AH90" s="1558">
        <v>0</v>
      </c>
    </row>
    <row r="91" spans="1:34" s="1562" customFormat="1" ht="18.75" hidden="1" customHeight="1">
      <c r="A91" s="1707"/>
      <c r="B91" s="1707"/>
      <c r="C91" s="306" t="s">
        <v>1224</v>
      </c>
      <c r="D91" s="2754"/>
      <c r="E91" s="2558"/>
      <c r="F91" s="2689"/>
      <c r="G91" s="2729"/>
      <c r="H91" s="1427"/>
      <c r="I91" s="588" t="s">
        <v>1223</v>
      </c>
      <c r="J91" s="508"/>
      <c r="K91" s="1427"/>
      <c r="L91" s="151"/>
      <c r="M91" s="1787"/>
      <c r="N91" s="271"/>
      <c r="O91" s="1551"/>
      <c r="P91" s="1551"/>
      <c r="AH91" s="1558">
        <v>0</v>
      </c>
    </row>
    <row r="92" spans="1:34" s="1562" customFormat="1" ht="0.75" hidden="1" customHeight="1">
      <c r="A92" s="1707"/>
      <c r="B92" s="1707"/>
      <c r="C92" s="306" t="s">
        <v>1231</v>
      </c>
      <c r="D92" s="2754"/>
      <c r="E92" s="2558"/>
      <c r="F92" s="2689"/>
      <c r="G92" s="337"/>
      <c r="H92" s="1427"/>
      <c r="I92" s="588"/>
      <c r="J92" s="508"/>
      <c r="K92" s="1427"/>
      <c r="L92" s="151"/>
      <c r="M92" s="278"/>
      <c r="N92" s="271"/>
      <c r="O92" s="1551"/>
      <c r="P92" s="1551"/>
      <c r="AH92" s="1558">
        <v>0</v>
      </c>
    </row>
    <row r="93" spans="1:34" s="1562" customFormat="1" ht="45" hidden="1" customHeight="1">
      <c r="A93" s="1707" t="s">
        <v>233</v>
      </c>
      <c r="B93" s="1707" t="s">
        <v>234</v>
      </c>
      <c r="C93" s="306"/>
      <c r="D93" s="2754"/>
      <c r="E93" s="2558"/>
      <c r="F93" s="26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29" t="str">
        <f>INDEX(PT_DIFFERENTIATION_NTAR,MATCH(B93,PT_DIFFERENTIATION_NTAR_ID,0))</f>
        <v/>
      </c>
      <c r="H93" s="1788"/>
      <c r="I93" s="1666"/>
      <c r="J93" s="1700"/>
      <c r="K93" s="1705"/>
      <c r="L93" s="1788" t="s">
        <v>386</v>
      </c>
      <c r="M93" s="278"/>
      <c r="N93" s="271"/>
      <c r="O93" s="1551"/>
      <c r="P93" s="1551"/>
      <c r="AH93" s="1558">
        <v>0</v>
      </c>
    </row>
    <row r="94" spans="1:34" s="1562" customFormat="1" ht="18.75" hidden="1" customHeight="1">
      <c r="A94" s="1707"/>
      <c r="B94" s="1707"/>
      <c r="C94" s="306" t="s">
        <v>1224</v>
      </c>
      <c r="D94" s="2754"/>
      <c r="E94" s="2558"/>
      <c r="F94" s="2689"/>
      <c r="G94" s="2729"/>
      <c r="H94" s="1427"/>
      <c r="I94" s="588" t="s">
        <v>1223</v>
      </c>
      <c r="J94" s="508"/>
      <c r="K94" s="1427"/>
      <c r="L94" s="151"/>
      <c r="M94" s="278"/>
      <c r="N94" s="271"/>
      <c r="O94" s="1551"/>
      <c r="P94" s="1551"/>
      <c r="AH94" s="1558">
        <v>0</v>
      </c>
    </row>
    <row r="95" spans="1:34" s="1562" customFormat="1" ht="0.75" hidden="1" customHeight="1">
      <c r="A95" s="1707"/>
      <c r="B95" s="1707"/>
      <c r="C95" s="306" t="s">
        <v>1231</v>
      </c>
      <c r="D95" s="2754"/>
      <c r="E95" s="2558"/>
      <c r="F95" s="2689"/>
      <c r="G95" s="337"/>
      <c r="H95" s="1427"/>
      <c r="I95" s="588"/>
      <c r="J95" s="508"/>
      <c r="K95" s="1427"/>
      <c r="L95" s="151"/>
      <c r="M95" s="278"/>
      <c r="N95" s="271"/>
      <c r="O95" s="1551"/>
      <c r="P95" s="1551"/>
      <c r="AH95" s="1558">
        <v>0</v>
      </c>
    </row>
    <row r="96" spans="1:34" s="1562" customFormat="1" ht="45" hidden="1" customHeight="1">
      <c r="A96" s="1707" t="s">
        <v>239</v>
      </c>
      <c r="B96" s="1707" t="s">
        <v>240</v>
      </c>
      <c r="C96" s="306"/>
      <c r="D96" s="2754"/>
      <c r="E96" s="2558"/>
      <c r="F96" s="26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29" t="str">
        <f>INDEX(PT_DIFFERENTIATION_NTAR,MATCH(B96,PT_DIFFERENTIATION_NTAR_ID,0))</f>
        <v/>
      </c>
      <c r="H96" s="1788"/>
      <c r="I96" s="1666"/>
      <c r="J96" s="1700"/>
      <c r="K96" s="1705"/>
      <c r="L96" s="1788" t="s">
        <v>386</v>
      </c>
      <c r="M96" s="278"/>
      <c r="N96" s="271"/>
      <c r="O96" s="1551"/>
      <c r="P96" s="1551"/>
      <c r="AH96" s="1558">
        <v>0</v>
      </c>
    </row>
    <row r="97" spans="1:34" s="1562" customFormat="1" ht="18.75" hidden="1" customHeight="1">
      <c r="A97" s="1707"/>
      <c r="B97" s="1707"/>
      <c r="C97" s="306" t="s">
        <v>1224</v>
      </c>
      <c r="D97" s="2754"/>
      <c r="E97" s="2558"/>
      <c r="F97" s="2689"/>
      <c r="G97" s="2729"/>
      <c r="H97" s="1427"/>
      <c r="I97" s="588" t="s">
        <v>1223</v>
      </c>
      <c r="J97" s="508"/>
      <c r="K97" s="1427"/>
      <c r="L97" s="151"/>
      <c r="M97" s="278"/>
      <c r="N97" s="271"/>
      <c r="O97" s="1551"/>
      <c r="P97" s="1551"/>
      <c r="AH97" s="1558">
        <v>0</v>
      </c>
    </row>
    <row r="98" spans="1:34" s="1562" customFormat="1" ht="0.75" hidden="1" customHeight="1">
      <c r="A98" s="1707"/>
      <c r="B98" s="1707"/>
      <c r="C98" s="306" t="s">
        <v>1231</v>
      </c>
      <c r="D98" s="2754"/>
      <c r="E98" s="2558"/>
      <c r="F98" s="2689"/>
      <c r="G98" s="337"/>
      <c r="H98" s="1427"/>
      <c r="I98" s="588"/>
      <c r="J98" s="508"/>
      <c r="K98" s="1427"/>
      <c r="L98" s="151"/>
      <c r="M98" s="278"/>
      <c r="N98" s="271"/>
      <c r="O98" s="1551"/>
      <c r="P98" s="1551"/>
      <c r="AH98" s="1558">
        <v>0</v>
      </c>
    </row>
    <row r="99" spans="1:34" s="1562" customFormat="1" ht="18.75" hidden="1" customHeight="1">
      <c r="A99" s="1707" t="s">
        <v>245</v>
      </c>
      <c r="B99" s="1707" t="s">
        <v>246</v>
      </c>
      <c r="C99" s="306"/>
      <c r="D99" s="2754"/>
      <c r="E99" s="2558"/>
      <c r="F99" s="2689" t="str">
        <f>INDEX(PT_DIFFERENTIATION_VTAR,MATCH(A99,PT_DIFFERENTIATION_VTAR_ID,0))</f>
        <v>Тарифы на услуги по передаче тепловой энергии</v>
      </c>
      <c r="G99" s="2729" t="str">
        <f>INDEX(PT_DIFFERENTIATION_NTAR,MATCH(B99,PT_DIFFERENTIATION_NTAR_ID,0))</f>
        <v/>
      </c>
      <c r="H99" s="1788"/>
      <c r="I99" s="1666"/>
      <c r="J99" s="1700"/>
      <c r="K99" s="1705"/>
      <c r="L99" s="1788" t="s">
        <v>386</v>
      </c>
      <c r="M99" s="278"/>
      <c r="N99" s="271"/>
      <c r="O99" s="1551"/>
      <c r="P99" s="1551"/>
      <c r="AH99" s="1558">
        <v>0</v>
      </c>
    </row>
    <row r="100" spans="1:34" s="1562" customFormat="1" ht="18.75" hidden="1" customHeight="1">
      <c r="A100" s="1707"/>
      <c r="B100" s="1707"/>
      <c r="C100" s="306" t="s">
        <v>1224</v>
      </c>
      <c r="D100" s="2754"/>
      <c r="E100" s="2558"/>
      <c r="F100" s="2689"/>
      <c r="G100" s="2729"/>
      <c r="H100" s="1427"/>
      <c r="I100" s="588" t="s">
        <v>1223</v>
      </c>
      <c r="J100" s="508"/>
      <c r="K100" s="1427"/>
      <c r="L100" s="151"/>
      <c r="M100" s="278"/>
      <c r="N100" s="271"/>
      <c r="O100" s="1551"/>
      <c r="P100" s="1551"/>
      <c r="AH100" s="1558">
        <v>0</v>
      </c>
    </row>
    <row r="101" spans="1:34" s="1562" customFormat="1" ht="0.75" hidden="1" customHeight="1">
      <c r="A101" s="1707"/>
      <c r="B101" s="1707"/>
      <c r="C101" s="306" t="s">
        <v>1231</v>
      </c>
      <c r="D101" s="2754"/>
      <c r="E101" s="2558"/>
      <c r="F101" s="2689"/>
      <c r="G101" s="337"/>
      <c r="H101" s="1427"/>
      <c r="I101" s="588"/>
      <c r="J101" s="508"/>
      <c r="K101" s="1427"/>
      <c r="L101" s="151"/>
      <c r="M101" s="278"/>
      <c r="N101" s="271"/>
      <c r="O101" s="1551"/>
      <c r="P101" s="1551"/>
      <c r="AH101" s="1558">
        <v>0</v>
      </c>
    </row>
    <row r="102" spans="1:34" s="1562" customFormat="1" ht="18.75" hidden="1" customHeight="1">
      <c r="A102" s="1707" t="s">
        <v>251</v>
      </c>
      <c r="B102" s="1707" t="s">
        <v>252</v>
      </c>
      <c r="C102" s="306"/>
      <c r="D102" s="2754"/>
      <c r="E102" s="2558"/>
      <c r="F102" s="2689" t="str">
        <f>INDEX(PT_DIFFERENTIATION_VTAR,MATCH(A102,PT_DIFFERENTIATION_VTAR_ID,0))</f>
        <v>Тарифы на услуги по передаче теплоносителя</v>
      </c>
      <c r="G102" s="2729" t="str">
        <f>INDEX(PT_DIFFERENTIATION_NTAR,MATCH(B102,PT_DIFFERENTIATION_NTAR_ID,0))</f>
        <v/>
      </c>
      <c r="H102" s="1788"/>
      <c r="I102" s="1666"/>
      <c r="J102" s="1700"/>
      <c r="K102" s="1705"/>
      <c r="L102" s="1788" t="s">
        <v>386</v>
      </c>
      <c r="M102" s="278"/>
      <c r="N102" s="271"/>
      <c r="O102" s="1551"/>
      <c r="P102" s="1551"/>
      <c r="AH102" s="1558">
        <v>0</v>
      </c>
    </row>
    <row r="103" spans="1:34" s="1562" customFormat="1" ht="18.75" hidden="1" customHeight="1">
      <c r="A103" s="1707"/>
      <c r="B103" s="1707"/>
      <c r="C103" s="306" t="s">
        <v>1224</v>
      </c>
      <c r="D103" s="2754"/>
      <c r="E103" s="2558"/>
      <c r="F103" s="2689"/>
      <c r="G103" s="2729"/>
      <c r="H103" s="1427"/>
      <c r="I103" s="588" t="s">
        <v>1223</v>
      </c>
      <c r="J103" s="508"/>
      <c r="K103" s="1427"/>
      <c r="L103" s="151"/>
      <c r="M103" s="278"/>
      <c r="N103" s="271"/>
      <c r="O103" s="1551"/>
      <c r="P103" s="1551"/>
      <c r="AH103" s="1558">
        <v>0</v>
      </c>
    </row>
    <row r="104" spans="1:34" s="1562" customFormat="1" ht="0.75" hidden="1" customHeight="1">
      <c r="A104" s="1707"/>
      <c r="B104" s="1707"/>
      <c r="C104" s="306" t="s">
        <v>1231</v>
      </c>
      <c r="D104" s="2754"/>
      <c r="E104" s="2558"/>
      <c r="F104" s="2689"/>
      <c r="G104" s="337"/>
      <c r="H104" s="1427"/>
      <c r="I104" s="588"/>
      <c r="J104" s="508"/>
      <c r="K104" s="1427"/>
      <c r="L104" s="151"/>
      <c r="M104" s="278"/>
      <c r="N104" s="271"/>
      <c r="O104" s="1551"/>
      <c r="P104" s="1551"/>
      <c r="AH104" s="1558">
        <v>0</v>
      </c>
    </row>
    <row r="105" spans="1:34" s="1562" customFormat="1" ht="18.75" hidden="1" customHeight="1">
      <c r="A105" s="1707" t="s">
        <v>257</v>
      </c>
      <c r="B105" s="1707" t="s">
        <v>258</v>
      </c>
      <c r="C105" s="306"/>
      <c r="D105" s="2754"/>
      <c r="E105" s="2558"/>
      <c r="F105" s="26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29" t="str">
        <f>INDEX(PT_DIFFERENTIATION_NTAR,MATCH(B105,PT_DIFFERENTIATION_NTAR_ID,0))</f>
        <v/>
      </c>
      <c r="H105" s="1788"/>
      <c r="I105" s="1666"/>
      <c r="J105" s="1700"/>
      <c r="K105" s="1705"/>
      <c r="L105" s="1788" t="s">
        <v>386</v>
      </c>
      <c r="M105" s="278"/>
      <c r="N105" s="271"/>
      <c r="O105" s="1551"/>
      <c r="P105" s="1551"/>
      <c r="AH105" s="1558">
        <v>0</v>
      </c>
    </row>
    <row r="106" spans="1:34" s="1562" customFormat="1" ht="18.75" hidden="1" customHeight="1">
      <c r="A106" s="1707"/>
      <c r="B106" s="1707"/>
      <c r="C106" s="306" t="s">
        <v>1224</v>
      </c>
      <c r="D106" s="2754"/>
      <c r="E106" s="2558"/>
      <c r="F106" s="2689"/>
      <c r="G106" s="2729"/>
      <c r="H106" s="1427"/>
      <c r="I106" s="588" t="s">
        <v>1223</v>
      </c>
      <c r="J106" s="508"/>
      <c r="K106" s="1427"/>
      <c r="L106" s="151"/>
      <c r="M106" s="278"/>
      <c r="N106" s="271"/>
      <c r="O106" s="1551"/>
      <c r="P106" s="1551"/>
      <c r="AH106" s="1558">
        <v>0</v>
      </c>
    </row>
    <row r="107" spans="1:34" s="1562" customFormat="1" ht="0.75" hidden="1" customHeight="1">
      <c r="A107" s="1707"/>
      <c r="B107" s="1707"/>
      <c r="C107" s="306" t="s">
        <v>1231</v>
      </c>
      <c r="D107" s="2754"/>
      <c r="E107" s="2558"/>
      <c r="F107" s="2689"/>
      <c r="G107" s="337"/>
      <c r="H107" s="1427"/>
      <c r="I107" s="588"/>
      <c r="J107" s="508"/>
      <c r="K107" s="1427"/>
      <c r="L107" s="151"/>
      <c r="M107" s="278"/>
      <c r="N107" s="271"/>
      <c r="O107" s="1551"/>
      <c r="P107" s="1551"/>
      <c r="AH107" s="1558">
        <v>0</v>
      </c>
    </row>
    <row r="108" spans="1:34" s="1562" customFormat="1" ht="18.75" hidden="1" customHeight="1">
      <c r="A108" s="1707" t="s">
        <v>263</v>
      </c>
      <c r="B108" s="1707" t="s">
        <v>264</v>
      </c>
      <c r="C108" s="306"/>
      <c r="D108" s="2754"/>
      <c r="E108" s="2558"/>
      <c r="F108" s="2689" t="str">
        <f>INDEX(PT_DIFFERENTIATION_VTAR,MATCH(A108,PT_DIFFERENTIATION_VTAR_ID,0))</f>
        <v>Плата за подключение (технологическое присоединение) к системе теплоснабжения</v>
      </c>
      <c r="G108" s="2729" t="str">
        <f>INDEX(PT_DIFFERENTIATION_NTAR,MATCH(B108,PT_DIFFERENTIATION_NTAR_ID,0))</f>
        <v/>
      </c>
      <c r="H108" s="1788"/>
      <c r="I108" s="1666"/>
      <c r="J108" s="1700"/>
      <c r="K108" s="1705"/>
      <c r="L108" s="1788" t="s">
        <v>386</v>
      </c>
      <c r="M108" s="278"/>
      <c r="N108" s="271"/>
      <c r="O108" s="1551"/>
      <c r="P108" s="1551"/>
      <c r="AH108" s="1558">
        <v>0</v>
      </c>
    </row>
    <row r="109" spans="1:34" s="1562" customFormat="1" ht="18.75" hidden="1" customHeight="1">
      <c r="A109" s="1707"/>
      <c r="B109" s="1707"/>
      <c r="C109" s="306" t="s">
        <v>1224</v>
      </c>
      <c r="D109" s="2754"/>
      <c r="E109" s="2558"/>
      <c r="F109" s="2689"/>
      <c r="G109" s="2729"/>
      <c r="H109" s="1427"/>
      <c r="I109" s="588" t="s">
        <v>1223</v>
      </c>
      <c r="J109" s="508"/>
      <c r="K109" s="1427"/>
      <c r="L109" s="151"/>
      <c r="M109" s="278"/>
      <c r="N109" s="271"/>
      <c r="O109" s="1551"/>
      <c r="P109" s="1551"/>
      <c r="AH109" s="1558">
        <v>0</v>
      </c>
    </row>
    <row r="110" spans="1:34" s="1562" customFormat="1" ht="0.75" hidden="1" customHeight="1">
      <c r="A110" s="1707"/>
      <c r="B110" s="1707"/>
      <c r="C110" s="306" t="s">
        <v>1231</v>
      </c>
      <c r="D110" s="2754"/>
      <c r="E110" s="2558"/>
      <c r="F110" s="2689"/>
      <c r="G110" s="337"/>
      <c r="H110" s="1427"/>
      <c r="I110" s="588"/>
      <c r="J110" s="508"/>
      <c r="K110" s="1427"/>
      <c r="L110" s="151"/>
      <c r="M110" s="278"/>
      <c r="N110" s="271"/>
      <c r="O110" s="1551"/>
      <c r="P110" s="1551"/>
      <c r="AH110" s="1558">
        <v>0</v>
      </c>
    </row>
    <row r="111" spans="1:34" s="1562" customFormat="1" ht="18.75" hidden="1" customHeight="1">
      <c r="A111" s="1707" t="s">
        <v>269</v>
      </c>
      <c r="B111" s="1707" t="s">
        <v>270</v>
      </c>
      <c r="C111" s="306"/>
      <c r="D111" s="2754"/>
      <c r="E111" s="2558"/>
      <c r="F111" s="2689" t="str">
        <f>INDEX(PT_DIFFERENTIATION_VTAR,MATCH(A111,PT_DIFFERENTIATION_VTAR_ID,0))</f>
        <v>Плата за подключение (технологическое присоединение) к системе теплоснабжения (индивидуальная)</v>
      </c>
      <c r="G111" s="2729" t="str">
        <f>INDEX(PT_DIFFERENTIATION_NTAR,MATCH(B111,PT_DIFFERENTIATION_NTAR_ID,0))</f>
        <v/>
      </c>
      <c r="H111" s="1912"/>
      <c r="I111" s="1666"/>
      <c r="J111" s="1700"/>
      <c r="K111" s="1705"/>
      <c r="L111" s="1912" t="s">
        <v>386</v>
      </c>
      <c r="M111" s="278"/>
      <c r="N111" s="271"/>
      <c r="O111" s="1551"/>
      <c r="P111" s="1551"/>
      <c r="AH111" s="1558">
        <v>0</v>
      </c>
    </row>
    <row r="112" spans="1:34" s="1562" customFormat="1" ht="18.75" hidden="1" customHeight="1">
      <c r="A112" s="1707"/>
      <c r="B112" s="1707"/>
      <c r="C112" s="306" t="s">
        <v>1224</v>
      </c>
      <c r="D112" s="2754"/>
      <c r="E112" s="2558"/>
      <c r="F112" s="2689"/>
      <c r="G112" s="2729"/>
      <c r="H112" s="1427"/>
      <c r="I112" s="588" t="s">
        <v>1223</v>
      </c>
      <c r="J112" s="508"/>
      <c r="K112" s="1427"/>
      <c r="L112" s="151"/>
      <c r="M112" s="278"/>
      <c r="N112" s="271"/>
      <c r="O112" s="1551"/>
      <c r="P112" s="1551"/>
      <c r="AH112" s="1558">
        <v>0</v>
      </c>
    </row>
    <row r="113" spans="1:34" s="1562" customFormat="1" ht="0.75" hidden="1" customHeight="1">
      <c r="A113" s="1707"/>
      <c r="B113" s="1707"/>
      <c r="C113" s="306" t="s">
        <v>1231</v>
      </c>
      <c r="D113" s="2754"/>
      <c r="E113" s="2558"/>
      <c r="F113" s="2689"/>
      <c r="G113" s="337"/>
      <c r="H113" s="1427"/>
      <c r="I113" s="588"/>
      <c r="J113" s="508"/>
      <c r="K113" s="1427"/>
      <c r="L113" s="151"/>
      <c r="M113" s="278"/>
      <c r="N113" s="271"/>
      <c r="O113" s="1551"/>
      <c r="P113" s="1551"/>
      <c r="AH113" s="1558">
        <v>0</v>
      </c>
    </row>
    <row r="114" spans="1:34" s="1562" customFormat="1" ht="18.75" hidden="1" customHeight="1">
      <c r="A114" s="1707" t="s">
        <v>291</v>
      </c>
      <c r="B114" s="1707" t="s">
        <v>292</v>
      </c>
      <c r="C114" s="306"/>
      <c r="D114" s="2754"/>
      <c r="E114" s="2558"/>
      <c r="F114" s="2689" t="str">
        <f>INDEX(PT_DIFFERENTIATION_VTAR,MATCH(A114,PT_DIFFERENTIATION_VTAR_ID,0))</f>
        <v>Тариф на питьевую воду (питьевое водоснабжение)</v>
      </c>
      <c r="G114" s="2729" t="str">
        <f>INDEX(PT_DIFFERENTIATION_NTAR,MATCH(B114,PT_DIFFERENTIATION_NTAR_ID,0))</f>
        <v>Тариф на холодное водоснабжение (питьевая)</v>
      </c>
      <c r="H114" s="1788"/>
      <c r="I114" s="1666"/>
      <c r="J114" s="1700"/>
      <c r="K114" s="1705"/>
      <c r="L114" s="1788" t="s">
        <v>386</v>
      </c>
      <c r="M114" s="278"/>
      <c r="N114" s="271"/>
      <c r="O114" s="1551"/>
      <c r="P114" s="1551"/>
      <c r="AH114" s="1558">
        <v>0</v>
      </c>
    </row>
    <row r="115" spans="1:34" s="1562" customFormat="1" ht="18.75" hidden="1" customHeight="1">
      <c r="A115" s="1707"/>
      <c r="B115" s="1707"/>
      <c r="C115" s="306" t="s">
        <v>1224</v>
      </c>
      <c r="D115" s="2754"/>
      <c r="E115" s="2558"/>
      <c r="F115" s="2689"/>
      <c r="G115" s="2729"/>
      <c r="H115" s="1427"/>
      <c r="I115" s="588" t="s">
        <v>1223</v>
      </c>
      <c r="J115" s="508"/>
      <c r="K115" s="1427"/>
      <c r="L115" s="151"/>
      <c r="M115" s="278"/>
      <c r="N115" s="271"/>
      <c r="O115" s="1551"/>
      <c r="P115" s="1551"/>
      <c r="AH115" s="1558">
        <v>0</v>
      </c>
    </row>
    <row r="116" spans="1:34" s="1562" customFormat="1" ht="0.75" hidden="1" customHeight="1">
      <c r="A116" s="1707"/>
      <c r="B116" s="1707"/>
      <c r="C116" s="306" t="s">
        <v>1231</v>
      </c>
      <c r="D116" s="2754"/>
      <c r="E116" s="2558"/>
      <c r="F116" s="2689"/>
      <c r="G116" s="337"/>
      <c r="H116" s="1427"/>
      <c r="I116" s="588"/>
      <c r="J116" s="508"/>
      <c r="K116" s="1427"/>
      <c r="L116" s="151"/>
      <c r="M116" s="278"/>
      <c r="N116" s="271"/>
      <c r="O116" s="1551"/>
      <c r="P116" s="1551"/>
      <c r="AH116" s="1558">
        <v>0</v>
      </c>
    </row>
    <row r="117" spans="1:34" s="1562" customFormat="1" ht="18.75" hidden="1" customHeight="1">
      <c r="A117" s="1707" t="s">
        <v>304</v>
      </c>
      <c r="B117" s="1707" t="s">
        <v>305</v>
      </c>
      <c r="C117" s="306"/>
      <c r="D117" s="2754"/>
      <c r="E117" s="2558"/>
      <c r="F117" s="2689" t="str">
        <f>INDEX(PT_DIFFERENTIATION_VTAR,MATCH(A117,PT_DIFFERENTIATION_VTAR_ID,0))</f>
        <v>Тариф на техническую воду</v>
      </c>
      <c r="G117" s="2729" t="str">
        <f>INDEX(PT_DIFFERENTIATION_NTAR,MATCH(B117,PT_DIFFERENTIATION_NTAR_ID,0))</f>
        <v>Тариф на холодное водоснабжение (техническая)</v>
      </c>
      <c r="H117" s="1788"/>
      <c r="I117" s="1666"/>
      <c r="J117" s="1700"/>
      <c r="K117" s="1705"/>
      <c r="L117" s="1788" t="s">
        <v>386</v>
      </c>
      <c r="M117" s="278"/>
      <c r="N117" s="271"/>
      <c r="O117" s="1551"/>
      <c r="P117" s="1551"/>
      <c r="AH117" s="1558">
        <v>0</v>
      </c>
    </row>
    <row r="118" spans="1:34" s="1562" customFormat="1" ht="18.75" hidden="1" customHeight="1">
      <c r="A118" s="1707"/>
      <c r="B118" s="1707"/>
      <c r="C118" s="306" t="s">
        <v>1224</v>
      </c>
      <c r="D118" s="2754"/>
      <c r="E118" s="2558"/>
      <c r="F118" s="2689"/>
      <c r="G118" s="2729"/>
      <c r="H118" s="1427"/>
      <c r="I118" s="588" t="s">
        <v>1223</v>
      </c>
      <c r="J118" s="508"/>
      <c r="K118" s="1427"/>
      <c r="L118" s="151"/>
      <c r="M118" s="278"/>
      <c r="N118" s="271"/>
      <c r="O118" s="1551"/>
      <c r="P118" s="1551"/>
      <c r="AH118" s="1558">
        <v>0</v>
      </c>
    </row>
    <row r="119" spans="1:34" s="1562" customFormat="1" ht="0.75" hidden="1" customHeight="1">
      <c r="A119" s="1707"/>
      <c r="B119" s="1707"/>
      <c r="C119" s="306" t="s">
        <v>1231</v>
      </c>
      <c r="D119" s="2754"/>
      <c r="E119" s="2558"/>
      <c r="F119" s="2689"/>
      <c r="G119" s="337"/>
      <c r="H119" s="1427"/>
      <c r="I119" s="588"/>
      <c r="J119" s="508"/>
      <c r="K119" s="1427"/>
      <c r="L119" s="151"/>
      <c r="M119" s="278"/>
      <c r="N119" s="271"/>
      <c r="O119" s="1551"/>
      <c r="P119" s="1551"/>
      <c r="AH119" s="1558">
        <v>0</v>
      </c>
    </row>
    <row r="120" spans="1:34" s="1562" customFormat="1" ht="18.75" hidden="1" customHeight="1">
      <c r="A120" s="1707" t="s">
        <v>315</v>
      </c>
      <c r="B120" s="1707" t="s">
        <v>316</v>
      </c>
      <c r="C120" s="306"/>
      <c r="D120" s="2754"/>
      <c r="E120" s="2558"/>
      <c r="F120" s="2689" t="str">
        <f>INDEX(PT_DIFFERENTIATION_VTAR,MATCH(A120,PT_DIFFERENTIATION_VTAR_ID,0))</f>
        <v>Тариф на транспортировку воды</v>
      </c>
      <c r="G120" s="2729" t="str">
        <f>INDEX(PT_DIFFERENTIATION_NTAR,MATCH(B120,PT_DIFFERENTIATION_NTAR_ID,0))</f>
        <v/>
      </c>
      <c r="H120" s="1788"/>
      <c r="I120" s="1666"/>
      <c r="J120" s="1700"/>
      <c r="K120" s="1705"/>
      <c r="L120" s="1788" t="s">
        <v>386</v>
      </c>
      <c r="M120" s="278"/>
      <c r="N120" s="271"/>
      <c r="O120" s="1551"/>
      <c r="P120" s="1551"/>
      <c r="AH120" s="1558">
        <v>0</v>
      </c>
    </row>
    <row r="121" spans="1:34" s="1562" customFormat="1" ht="18.75" hidden="1" customHeight="1">
      <c r="A121" s="1707"/>
      <c r="B121" s="1707"/>
      <c r="C121" s="306" t="s">
        <v>1224</v>
      </c>
      <c r="D121" s="2754"/>
      <c r="E121" s="2558"/>
      <c r="F121" s="2689"/>
      <c r="G121" s="2729"/>
      <c r="H121" s="1427"/>
      <c r="I121" s="588" t="s">
        <v>1223</v>
      </c>
      <c r="J121" s="508"/>
      <c r="K121" s="1427"/>
      <c r="L121" s="151"/>
      <c r="M121" s="278"/>
      <c r="N121" s="271"/>
      <c r="O121" s="1551"/>
      <c r="P121" s="1551"/>
      <c r="AH121" s="1558">
        <v>0</v>
      </c>
    </row>
    <row r="122" spans="1:34" s="1562" customFormat="1" ht="0.75" hidden="1" customHeight="1">
      <c r="A122" s="1707"/>
      <c r="B122" s="1707"/>
      <c r="C122" s="306" t="s">
        <v>1231</v>
      </c>
      <c r="D122" s="2754"/>
      <c r="E122" s="2558"/>
      <c r="F122" s="2689"/>
      <c r="G122" s="337"/>
      <c r="H122" s="1427"/>
      <c r="I122" s="588"/>
      <c r="J122" s="508"/>
      <c r="K122" s="1427"/>
      <c r="L122" s="151"/>
      <c r="M122" s="278"/>
      <c r="N122" s="271"/>
      <c r="O122" s="1551"/>
      <c r="P122" s="1551"/>
      <c r="AH122" s="1558">
        <v>0</v>
      </c>
    </row>
    <row r="123" spans="1:34" s="1562" customFormat="1" ht="18.75" hidden="1" customHeight="1">
      <c r="A123" s="1707" t="s">
        <v>320</v>
      </c>
      <c r="B123" s="1707" t="s">
        <v>321</v>
      </c>
      <c r="C123" s="306"/>
      <c r="D123" s="2754"/>
      <c r="E123" s="2558"/>
      <c r="F123" s="2689" t="str">
        <f>INDEX(PT_DIFFERENTIATION_VTAR,MATCH(A123,PT_DIFFERENTIATION_VTAR_ID,0))</f>
        <v>Тариф на подвоз воды</v>
      </c>
      <c r="G123" s="2729" t="str">
        <f>INDEX(PT_DIFFERENTIATION_NTAR,MATCH(B123,PT_DIFFERENTIATION_NTAR_ID,0))</f>
        <v/>
      </c>
      <c r="H123" s="1788"/>
      <c r="I123" s="1666"/>
      <c r="J123" s="1700"/>
      <c r="K123" s="1705"/>
      <c r="L123" s="1788" t="s">
        <v>386</v>
      </c>
      <c r="M123" s="278"/>
      <c r="N123" s="271"/>
      <c r="O123" s="1551"/>
      <c r="P123" s="1551"/>
      <c r="AH123" s="1558">
        <v>0</v>
      </c>
    </row>
    <row r="124" spans="1:34" s="1562" customFormat="1" ht="18.75" hidden="1" customHeight="1">
      <c r="A124" s="1707"/>
      <c r="B124" s="1707"/>
      <c r="C124" s="306" t="s">
        <v>1224</v>
      </c>
      <c r="D124" s="2754"/>
      <c r="E124" s="2558"/>
      <c r="F124" s="2689"/>
      <c r="G124" s="2729"/>
      <c r="H124" s="1427"/>
      <c r="I124" s="588" t="s">
        <v>1223</v>
      </c>
      <c r="J124" s="508"/>
      <c r="K124" s="1427"/>
      <c r="L124" s="151"/>
      <c r="M124" s="278"/>
      <c r="N124" s="271"/>
      <c r="O124" s="1551"/>
      <c r="P124" s="1551"/>
      <c r="AH124" s="1558">
        <v>0</v>
      </c>
    </row>
    <row r="125" spans="1:34" s="1562" customFormat="1" ht="0.75" hidden="1" customHeight="1">
      <c r="A125" s="1707"/>
      <c r="B125" s="1707"/>
      <c r="C125" s="306" t="s">
        <v>1231</v>
      </c>
      <c r="D125" s="2754"/>
      <c r="E125" s="2558"/>
      <c r="F125" s="2689"/>
      <c r="G125" s="337"/>
      <c r="H125" s="1427"/>
      <c r="I125" s="588"/>
      <c r="J125" s="508"/>
      <c r="K125" s="1427"/>
      <c r="L125" s="151"/>
      <c r="M125" s="278"/>
      <c r="N125" s="271"/>
      <c r="O125" s="1551"/>
      <c r="P125" s="1551"/>
      <c r="AH125" s="1558">
        <v>0</v>
      </c>
    </row>
    <row r="126" spans="1:34" s="1562" customFormat="1" ht="18.75" hidden="1" customHeight="1">
      <c r="A126" s="1707" t="s">
        <v>325</v>
      </c>
      <c r="B126" s="1707" t="s">
        <v>326</v>
      </c>
      <c r="C126" s="306"/>
      <c r="D126" s="2754"/>
      <c r="E126" s="2558"/>
      <c r="F126" s="26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29" t="str">
        <f>INDEX(PT_DIFFERENTIATION_NTAR,MATCH(B126,PT_DIFFERENTIATION_NTAR_ID,0))</f>
        <v/>
      </c>
      <c r="H126" s="1788"/>
      <c r="I126" s="1666"/>
      <c r="J126" s="1700"/>
      <c r="K126" s="1705"/>
      <c r="L126" s="1788" t="s">
        <v>386</v>
      </c>
      <c r="M126" s="278"/>
      <c r="N126" s="271"/>
      <c r="O126" s="1551"/>
      <c r="P126" s="1551"/>
      <c r="AH126" s="1558">
        <v>0</v>
      </c>
    </row>
    <row r="127" spans="1:34" s="1562" customFormat="1" ht="18.75" hidden="1" customHeight="1">
      <c r="A127" s="1707"/>
      <c r="B127" s="1707"/>
      <c r="C127" s="306" t="s">
        <v>1224</v>
      </c>
      <c r="D127" s="2754"/>
      <c r="E127" s="2558"/>
      <c r="F127" s="2689"/>
      <c r="G127" s="2729"/>
      <c r="H127" s="1427"/>
      <c r="I127" s="588" t="s">
        <v>1223</v>
      </c>
      <c r="J127" s="508"/>
      <c r="K127" s="1427"/>
      <c r="L127" s="151"/>
      <c r="M127" s="278"/>
      <c r="N127" s="271"/>
      <c r="O127" s="1551"/>
      <c r="P127" s="1551"/>
      <c r="AH127" s="1558">
        <v>0</v>
      </c>
    </row>
    <row r="128" spans="1:34" s="1562" customFormat="1" ht="0.75" hidden="1" customHeight="1">
      <c r="A128" s="1707"/>
      <c r="B128" s="1707"/>
      <c r="C128" s="306" t="s">
        <v>1231</v>
      </c>
      <c r="D128" s="2754"/>
      <c r="E128" s="2558"/>
      <c r="F128" s="2689"/>
      <c r="G128" s="337"/>
      <c r="H128" s="1427"/>
      <c r="I128" s="588"/>
      <c r="J128" s="508"/>
      <c r="K128" s="1427"/>
      <c r="L128" s="151"/>
      <c r="M128" s="278"/>
      <c r="N128" s="271"/>
      <c r="O128" s="1551"/>
      <c r="P128" s="1551"/>
      <c r="AH128" s="1558">
        <v>0</v>
      </c>
    </row>
    <row r="129" spans="1:34" s="1562" customFormat="1" ht="18.75" hidden="1" customHeight="1">
      <c r="A129" s="1707" t="s">
        <v>330</v>
      </c>
      <c r="B129" s="1707" t="s">
        <v>331</v>
      </c>
      <c r="C129" s="306"/>
      <c r="D129" s="2754"/>
      <c r="E129" s="2558"/>
      <c r="F129" s="2689" t="str">
        <f>INDEX(PT_DIFFERENTIATION_VTAR,MATCH(A129,PT_DIFFERENTIATION_VTAR_ID,0))</f>
        <v>Тариф на горячую воду (горячее водоснабжение)</v>
      </c>
      <c r="G129" s="2729" t="str">
        <f>INDEX(PT_DIFFERENTIATION_NTAR,MATCH(B129,PT_DIFFERENTIATION_NTAR_ID,0))</f>
        <v/>
      </c>
      <c r="H129" s="1788"/>
      <c r="I129" s="1666"/>
      <c r="J129" s="1700"/>
      <c r="K129" s="1705"/>
      <c r="L129" s="1788" t="s">
        <v>386</v>
      </c>
      <c r="M129" s="278"/>
      <c r="N129" s="271"/>
      <c r="O129" s="1551"/>
      <c r="P129" s="1551"/>
      <c r="AH129" s="1558">
        <v>0</v>
      </c>
    </row>
    <row r="130" spans="1:34" s="1562" customFormat="1" ht="18.75" hidden="1" customHeight="1">
      <c r="A130" s="1707"/>
      <c r="B130" s="1707"/>
      <c r="C130" s="306" t="s">
        <v>1224</v>
      </c>
      <c r="D130" s="2754"/>
      <c r="E130" s="2558"/>
      <c r="F130" s="2689"/>
      <c r="G130" s="2729"/>
      <c r="H130" s="1427"/>
      <c r="I130" s="588" t="s">
        <v>1223</v>
      </c>
      <c r="J130" s="508"/>
      <c r="K130" s="1427"/>
      <c r="L130" s="151"/>
      <c r="M130" s="278"/>
      <c r="N130" s="271"/>
      <c r="O130" s="1551"/>
      <c r="P130" s="1551"/>
      <c r="AH130" s="1558">
        <v>0</v>
      </c>
    </row>
    <row r="131" spans="1:34" s="1562" customFormat="1" ht="0.75" hidden="1" customHeight="1">
      <c r="A131" s="1707"/>
      <c r="B131" s="1707"/>
      <c r="C131" s="306" t="s">
        <v>1231</v>
      </c>
      <c r="D131" s="2754"/>
      <c r="E131" s="2558"/>
      <c r="F131" s="2689"/>
      <c r="G131" s="337"/>
      <c r="H131" s="1427"/>
      <c r="I131" s="588"/>
      <c r="J131" s="508"/>
      <c r="K131" s="1427"/>
      <c r="L131" s="151"/>
      <c r="M131" s="278"/>
      <c r="N131" s="271"/>
      <c r="O131" s="1551"/>
      <c r="P131" s="1551"/>
      <c r="AH131" s="1558">
        <v>0</v>
      </c>
    </row>
    <row r="132" spans="1:34" s="1562" customFormat="1" ht="18.75" hidden="1" customHeight="1">
      <c r="A132" s="1707" t="s">
        <v>335</v>
      </c>
      <c r="B132" s="1707" t="s">
        <v>336</v>
      </c>
      <c r="C132" s="306"/>
      <c r="D132" s="2754"/>
      <c r="E132" s="2558"/>
      <c r="F132" s="2689" t="str">
        <f>INDEX(PT_DIFFERENTIATION_VTAR,MATCH(A132,PT_DIFFERENTIATION_VTAR_ID,0))</f>
        <v>Тариф на транспортировку горячей воды</v>
      </c>
      <c r="G132" s="2729" t="str">
        <f>INDEX(PT_DIFFERENTIATION_NTAR,MATCH(B132,PT_DIFFERENTIATION_NTAR_ID,0))</f>
        <v/>
      </c>
      <c r="H132" s="1788"/>
      <c r="I132" s="1666"/>
      <c r="J132" s="1700"/>
      <c r="K132" s="1705"/>
      <c r="L132" s="1788" t="s">
        <v>386</v>
      </c>
      <c r="M132" s="278"/>
      <c r="N132" s="271"/>
      <c r="O132" s="1551"/>
      <c r="P132" s="1551"/>
      <c r="AH132" s="1558">
        <v>0</v>
      </c>
    </row>
    <row r="133" spans="1:34" s="1562" customFormat="1" ht="18.75" hidden="1" customHeight="1">
      <c r="A133" s="1707"/>
      <c r="B133" s="1707"/>
      <c r="C133" s="306" t="s">
        <v>1224</v>
      </c>
      <c r="D133" s="2754"/>
      <c r="E133" s="2558"/>
      <c r="F133" s="2689"/>
      <c r="G133" s="2729"/>
      <c r="H133" s="1427"/>
      <c r="I133" s="588" t="s">
        <v>1223</v>
      </c>
      <c r="J133" s="508"/>
      <c r="K133" s="1427"/>
      <c r="L133" s="151"/>
      <c r="M133" s="278"/>
      <c r="N133" s="271"/>
      <c r="O133" s="1551"/>
      <c r="P133" s="1551"/>
      <c r="AH133" s="1558">
        <v>0</v>
      </c>
    </row>
    <row r="134" spans="1:34" s="1562" customFormat="1" ht="0.75" hidden="1" customHeight="1">
      <c r="A134" s="1707"/>
      <c r="B134" s="1707"/>
      <c r="C134" s="306" t="s">
        <v>1231</v>
      </c>
      <c r="D134" s="2754"/>
      <c r="E134" s="2558"/>
      <c r="F134" s="2689"/>
      <c r="G134" s="337"/>
      <c r="H134" s="1427"/>
      <c r="I134" s="588"/>
      <c r="J134" s="508"/>
      <c r="K134" s="1427"/>
      <c r="L134" s="151"/>
      <c r="M134" s="278"/>
      <c r="N134" s="271"/>
      <c r="O134" s="1551"/>
      <c r="P134" s="1551"/>
      <c r="AH134" s="1558">
        <v>0</v>
      </c>
    </row>
    <row r="135" spans="1:34" s="1562" customFormat="1" ht="18.75" hidden="1" customHeight="1">
      <c r="A135" s="1707" t="s">
        <v>340</v>
      </c>
      <c r="B135" s="1707" t="s">
        <v>341</v>
      </c>
      <c r="C135" s="306"/>
      <c r="D135" s="2754"/>
      <c r="E135" s="2558"/>
      <c r="F135" s="26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29" t="str">
        <f>INDEX(PT_DIFFERENTIATION_NTAR,MATCH(B135,PT_DIFFERENTIATION_NTAR_ID,0))</f>
        <v/>
      </c>
      <c r="H135" s="1788"/>
      <c r="I135" s="1666"/>
      <c r="J135" s="1700"/>
      <c r="K135" s="1705"/>
      <c r="L135" s="1788" t="s">
        <v>386</v>
      </c>
      <c r="M135" s="278"/>
      <c r="N135" s="271"/>
      <c r="O135" s="1551"/>
      <c r="P135" s="1551"/>
      <c r="AH135" s="1558">
        <v>0</v>
      </c>
    </row>
    <row r="136" spans="1:34" s="1562" customFormat="1" ht="18.75" hidden="1" customHeight="1">
      <c r="A136" s="1707"/>
      <c r="B136" s="1707"/>
      <c r="C136" s="306" t="s">
        <v>1224</v>
      </c>
      <c r="D136" s="2754"/>
      <c r="E136" s="2558"/>
      <c r="F136" s="2689"/>
      <c r="G136" s="2729"/>
      <c r="H136" s="1427"/>
      <c r="I136" s="588" t="s">
        <v>1223</v>
      </c>
      <c r="J136" s="508"/>
      <c r="K136" s="1427"/>
      <c r="L136" s="151"/>
      <c r="M136" s="278"/>
      <c r="N136" s="271"/>
      <c r="O136" s="1551"/>
      <c r="P136" s="1551"/>
      <c r="AH136" s="1558">
        <v>0</v>
      </c>
    </row>
    <row r="137" spans="1:34" s="1562" customFormat="1" ht="0.75" hidden="1" customHeight="1">
      <c r="A137" s="1707"/>
      <c r="B137" s="1707"/>
      <c r="C137" s="306" t="s">
        <v>1231</v>
      </c>
      <c r="D137" s="2754"/>
      <c r="E137" s="2558"/>
      <c r="F137" s="2689"/>
      <c r="G137" s="337"/>
      <c r="H137" s="1427"/>
      <c r="I137" s="588"/>
      <c r="J137" s="508"/>
      <c r="K137" s="1427"/>
      <c r="L137" s="151"/>
      <c r="M137" s="278"/>
      <c r="N137" s="271"/>
      <c r="O137" s="1551"/>
      <c r="P137" s="1551"/>
      <c r="AH137" s="1558">
        <v>0</v>
      </c>
    </row>
    <row r="138" spans="1:34" s="1562" customFormat="1" ht="18.75" hidden="1" customHeight="1">
      <c r="A138" s="1707" t="s">
        <v>345</v>
      </c>
      <c r="B138" s="1707" t="s">
        <v>346</v>
      </c>
      <c r="C138" s="306"/>
      <c r="D138" s="2754"/>
      <c r="E138" s="2558"/>
      <c r="F138" s="2689" t="str">
        <f>INDEX(PT_DIFFERENTIATION_VTAR,MATCH(A138,PT_DIFFERENTIATION_VTAR_ID,0))</f>
        <v>Тариф на водоотведение</v>
      </c>
      <c r="G138" s="2729" t="str">
        <f>INDEX(PT_DIFFERENTIATION_NTAR,MATCH(B138,PT_DIFFERENTIATION_NTAR_ID,0))</f>
        <v/>
      </c>
      <c r="H138" s="1788"/>
      <c r="I138" s="1666"/>
      <c r="J138" s="1700"/>
      <c r="K138" s="1705"/>
      <c r="L138" s="1788" t="s">
        <v>386</v>
      </c>
      <c r="M138" s="278"/>
      <c r="N138" s="271"/>
      <c r="O138" s="1551"/>
      <c r="P138" s="1551"/>
      <c r="AH138" s="1558">
        <v>0</v>
      </c>
    </row>
    <row r="139" spans="1:34" s="1562" customFormat="1" ht="18.75" hidden="1" customHeight="1">
      <c r="A139" s="1707"/>
      <c r="B139" s="1707"/>
      <c r="C139" s="306" t="s">
        <v>1224</v>
      </c>
      <c r="D139" s="2754"/>
      <c r="E139" s="2558"/>
      <c r="F139" s="2689"/>
      <c r="G139" s="2729"/>
      <c r="H139" s="1427"/>
      <c r="I139" s="588" t="s">
        <v>1223</v>
      </c>
      <c r="J139" s="508"/>
      <c r="K139" s="1427"/>
      <c r="L139" s="151"/>
      <c r="M139" s="278"/>
      <c r="N139" s="271"/>
      <c r="O139" s="1551"/>
      <c r="P139" s="1551"/>
      <c r="AH139" s="1558">
        <v>0</v>
      </c>
    </row>
    <row r="140" spans="1:34" s="1562" customFormat="1" ht="0.75" hidden="1" customHeight="1">
      <c r="A140" s="1707"/>
      <c r="B140" s="1707"/>
      <c r="C140" s="306" t="s">
        <v>1231</v>
      </c>
      <c r="D140" s="2754"/>
      <c r="E140" s="2558"/>
      <c r="F140" s="2689"/>
      <c r="G140" s="337"/>
      <c r="H140" s="1427"/>
      <c r="I140" s="588"/>
      <c r="J140" s="508"/>
      <c r="K140" s="1427"/>
      <c r="L140" s="151"/>
      <c r="M140" s="278"/>
      <c r="N140" s="271"/>
      <c r="O140" s="1551"/>
      <c r="P140" s="1551"/>
      <c r="AH140" s="1558">
        <v>0</v>
      </c>
    </row>
    <row r="141" spans="1:34" s="1562" customFormat="1" ht="18.75" hidden="1" customHeight="1">
      <c r="A141" s="1707" t="s">
        <v>350</v>
      </c>
      <c r="B141" s="1707" t="s">
        <v>351</v>
      </c>
      <c r="C141" s="306"/>
      <c r="D141" s="2754"/>
      <c r="E141" s="2558"/>
      <c r="F141" s="2689" t="str">
        <f>INDEX(PT_DIFFERENTIATION_VTAR,MATCH(A141,PT_DIFFERENTIATION_VTAR_ID,0))</f>
        <v>Тариф на транспортировку сточных вод</v>
      </c>
      <c r="G141" s="2729" t="str">
        <f>INDEX(PT_DIFFERENTIATION_NTAR,MATCH(B141,PT_DIFFERENTIATION_NTAR_ID,0))</f>
        <v/>
      </c>
      <c r="H141" s="1788"/>
      <c r="I141" s="1666"/>
      <c r="J141" s="1700"/>
      <c r="K141" s="1705"/>
      <c r="L141" s="1788" t="s">
        <v>386</v>
      </c>
      <c r="M141" s="278"/>
      <c r="N141" s="271"/>
      <c r="O141" s="1551"/>
      <c r="P141" s="1551"/>
      <c r="AH141" s="1558">
        <v>0</v>
      </c>
    </row>
    <row r="142" spans="1:34" s="1562" customFormat="1" ht="18.75" hidden="1" customHeight="1">
      <c r="A142" s="1707"/>
      <c r="B142" s="1707"/>
      <c r="C142" s="306" t="s">
        <v>1224</v>
      </c>
      <c r="D142" s="2754"/>
      <c r="E142" s="2558"/>
      <c r="F142" s="2689"/>
      <c r="G142" s="2729"/>
      <c r="H142" s="1427"/>
      <c r="I142" s="588" t="s">
        <v>1223</v>
      </c>
      <c r="J142" s="508"/>
      <c r="K142" s="1427"/>
      <c r="L142" s="151"/>
      <c r="M142" s="278"/>
      <c r="N142" s="271"/>
      <c r="O142" s="1551"/>
      <c r="P142" s="1551"/>
      <c r="AH142" s="1558">
        <v>0</v>
      </c>
    </row>
    <row r="143" spans="1:34" s="1562" customFormat="1" ht="0.75" hidden="1" customHeight="1">
      <c r="A143" s="1707"/>
      <c r="B143" s="1707"/>
      <c r="C143" s="306" t="s">
        <v>1231</v>
      </c>
      <c r="D143" s="2754"/>
      <c r="E143" s="2558"/>
      <c r="F143" s="2689"/>
      <c r="G143" s="337"/>
      <c r="H143" s="1427"/>
      <c r="I143" s="588"/>
      <c r="J143" s="508"/>
      <c r="K143" s="1427"/>
      <c r="L143" s="151"/>
      <c r="M143" s="278"/>
      <c r="N143" s="271"/>
      <c r="O143" s="1551"/>
      <c r="P143" s="1551"/>
      <c r="AH143" s="1558">
        <v>0</v>
      </c>
    </row>
    <row r="144" spans="1:34" s="1562" customFormat="1" ht="18.75" hidden="1" customHeight="1">
      <c r="A144" s="1707" t="s">
        <v>355</v>
      </c>
      <c r="B144" s="1707" t="s">
        <v>356</v>
      </c>
      <c r="C144" s="306"/>
      <c r="D144" s="2754"/>
      <c r="E144" s="2558"/>
      <c r="F144" s="2689" t="str">
        <f>INDEX(PT_DIFFERENTIATION_VTAR,MATCH(A144,PT_DIFFERENTIATION_VTAR_ID,0))</f>
        <v>Тариф на подключение (технологическое присоединение) к централизованной системе водоотведения</v>
      </c>
      <c r="G144" s="2729" t="str">
        <f>INDEX(PT_DIFFERENTIATION_NTAR,MATCH(B144,PT_DIFFERENTIATION_NTAR_ID,0))</f>
        <v/>
      </c>
      <c r="H144" s="1788"/>
      <c r="I144" s="1666"/>
      <c r="J144" s="1700"/>
      <c r="K144" s="1705"/>
      <c r="L144" s="1788" t="s">
        <v>386</v>
      </c>
      <c r="M144" s="278"/>
      <c r="N144" s="271"/>
      <c r="O144" s="1551"/>
      <c r="P144" s="1551"/>
      <c r="AH144" s="1558">
        <v>0</v>
      </c>
    </row>
    <row r="145" spans="1:34" s="1562" customFormat="1" ht="18.75" hidden="1" customHeight="1">
      <c r="A145" s="1707"/>
      <c r="B145" s="1707"/>
      <c r="C145" s="306" t="s">
        <v>1224</v>
      </c>
      <c r="D145" s="2754"/>
      <c r="E145" s="2558"/>
      <c r="F145" s="2689"/>
      <c r="G145" s="2729"/>
      <c r="H145" s="1427"/>
      <c r="I145" s="588" t="s">
        <v>1223</v>
      </c>
      <c r="J145" s="508"/>
      <c r="K145" s="1427"/>
      <c r="L145" s="151"/>
      <c r="M145" s="278"/>
      <c r="N145" s="271"/>
      <c r="O145" s="1551"/>
      <c r="P145" s="1551"/>
      <c r="AH145" s="1558">
        <v>0</v>
      </c>
    </row>
    <row r="146" spans="1:34" s="1562" customFormat="1" ht="1.1499999999999999" customHeight="1">
      <c r="A146" s="1707"/>
      <c r="B146" s="1707"/>
      <c r="C146" s="306" t="s">
        <v>1231</v>
      </c>
      <c r="D146" s="2754"/>
      <c r="E146" s="2558"/>
      <c r="F146" s="2689"/>
      <c r="G146" s="337"/>
      <c r="H146" s="1427"/>
      <c r="I146" s="588"/>
      <c r="J146" s="508"/>
      <c r="K146" s="1427"/>
      <c r="L146" s="151"/>
      <c r="M146" s="278"/>
      <c r="N146" s="271"/>
      <c r="O146" s="1551"/>
      <c r="P146" s="1551"/>
      <c r="AH146" s="1558">
        <v>1</v>
      </c>
    </row>
    <row r="147" spans="1:34" ht="19.899999999999999" customHeight="1">
      <c r="A147" s="1707"/>
      <c r="B147" s="1707"/>
      <c r="D147" s="313"/>
      <c r="E147" s="84" t="s">
        <v>91</v>
      </c>
      <c r="F147" s="275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753"/>
      <c r="H147" s="2753"/>
      <c r="I147" s="2753"/>
      <c r="J147" s="2753"/>
      <c r="K147" s="2753"/>
      <c r="L147" s="2753"/>
      <c r="M147" s="234"/>
      <c r="N147" s="271"/>
      <c r="AH147" s="311">
        <v>19</v>
      </c>
    </row>
    <row r="148" spans="1:34" s="1562" customFormat="1" ht="60.75" hidden="1" customHeight="1">
      <c r="A148" s="1707" t="s">
        <v>221</v>
      </c>
      <c r="B148" s="1707" t="s">
        <v>222</v>
      </c>
      <c r="C148" s="306"/>
      <c r="D148" s="2754"/>
      <c r="E148" s="2558"/>
      <c r="F148" s="26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29" t="str">
        <f>INDEX(PT_DIFFERENTIATION_NTAR,MATCH(B148,PT_DIFFERENTIATION_NTAR_ID,0))</f>
        <v/>
      </c>
      <c r="H148" s="1788"/>
      <c r="I148" s="1666"/>
      <c r="J148" s="1700"/>
      <c r="K148" s="1705"/>
      <c r="L148" s="1788" t="s">
        <v>386</v>
      </c>
      <c r="M148" s="25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1224</v>
      </c>
      <c r="D149" s="2754"/>
      <c r="E149" s="2558"/>
      <c r="F149" s="2689"/>
      <c r="G149" s="2729"/>
      <c r="H149" s="1427"/>
      <c r="I149" s="588" t="s">
        <v>1223</v>
      </c>
      <c r="J149" s="508"/>
      <c r="K149" s="1427"/>
      <c r="L149" s="151"/>
      <c r="M149" s="2506"/>
      <c r="N149" s="271"/>
      <c r="O149" s="1551"/>
      <c r="P149" s="1551"/>
      <c r="AH149" s="1558">
        <v>0</v>
      </c>
    </row>
    <row r="150" spans="1:34" s="1562" customFormat="1" ht="0.75" hidden="1" customHeight="1">
      <c r="A150" s="1707"/>
      <c r="B150" s="1707"/>
      <c r="C150" s="306" t="s">
        <v>1231</v>
      </c>
      <c r="D150" s="2754"/>
      <c r="E150" s="2558"/>
      <c r="F150" s="2689"/>
      <c r="G150" s="337"/>
      <c r="H150" s="1427"/>
      <c r="I150" s="588"/>
      <c r="J150" s="508"/>
      <c r="K150" s="1427"/>
      <c r="L150" s="151"/>
      <c r="M150" s="2506"/>
      <c r="N150" s="271"/>
      <c r="O150" s="1551"/>
      <c r="P150" s="1551"/>
      <c r="AH150" s="1558">
        <v>0</v>
      </c>
    </row>
    <row r="151" spans="1:34" s="1562" customFormat="1" ht="45" hidden="1" customHeight="1">
      <c r="A151" s="1707" t="s">
        <v>226</v>
      </c>
      <c r="B151" s="1707" t="s">
        <v>227</v>
      </c>
      <c r="C151" s="306"/>
      <c r="D151" s="2754"/>
      <c r="E151" s="2558"/>
      <c r="F151" s="2689" t="str">
        <f>INDEX(PT_DIFFERENTIATION_VTAR,MATCH(A151,PT_DIFFERENTIATION_VTAR_ID,0))</f>
        <v/>
      </c>
      <c r="G151" s="2729" t="str">
        <f>INDEX(PT_DIFFERENTIATION_NTAR,MATCH(B151,PT_DIFFERENTIATION_NTAR_ID,0))</f>
        <v/>
      </c>
      <c r="H151" s="1788"/>
      <c r="I151" s="1666"/>
      <c r="J151" s="1700"/>
      <c r="K151" s="1705"/>
      <c r="L151" s="1788" t="s">
        <v>386</v>
      </c>
      <c r="M151" s="2507"/>
      <c r="N151" s="271"/>
      <c r="O151" s="1551"/>
      <c r="P151" s="1551"/>
      <c r="AH151" s="1558">
        <v>0</v>
      </c>
    </row>
    <row r="152" spans="1:34" s="1562" customFormat="1" ht="18.75" hidden="1" customHeight="1">
      <c r="A152" s="1707"/>
      <c r="B152" s="1707"/>
      <c r="C152" s="306" t="s">
        <v>1224</v>
      </c>
      <c r="D152" s="2754"/>
      <c r="E152" s="2558"/>
      <c r="F152" s="2689"/>
      <c r="G152" s="2729"/>
      <c r="H152" s="1427"/>
      <c r="I152" s="588" t="s">
        <v>1223</v>
      </c>
      <c r="J152" s="508"/>
      <c r="K152" s="1427"/>
      <c r="L152" s="151"/>
      <c r="M152" s="1787"/>
      <c r="N152" s="271"/>
      <c r="O152" s="1551"/>
      <c r="P152" s="1551"/>
      <c r="AH152" s="1558">
        <v>0</v>
      </c>
    </row>
    <row r="153" spans="1:34" s="1562" customFormat="1" ht="0.75" hidden="1" customHeight="1">
      <c r="A153" s="1707"/>
      <c r="B153" s="1707"/>
      <c r="C153" s="306" t="s">
        <v>1231</v>
      </c>
      <c r="D153" s="2754"/>
      <c r="E153" s="2558"/>
      <c r="F153" s="2689"/>
      <c r="G153" s="337"/>
      <c r="H153" s="1427"/>
      <c r="I153" s="588"/>
      <c r="J153" s="508"/>
      <c r="K153" s="1427"/>
      <c r="L153" s="151"/>
      <c r="M153" s="278"/>
      <c r="N153" s="271"/>
      <c r="O153" s="1551"/>
      <c r="P153" s="1551"/>
      <c r="AH153" s="1558">
        <v>0</v>
      </c>
    </row>
    <row r="154" spans="1:34" s="1562" customFormat="1" ht="45" hidden="1" customHeight="1">
      <c r="A154" s="1707" t="s">
        <v>233</v>
      </c>
      <c r="B154" s="1707" t="s">
        <v>234</v>
      </c>
      <c r="C154" s="306"/>
      <c r="D154" s="2754"/>
      <c r="E154" s="2558"/>
      <c r="F154" s="26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29" t="str">
        <f>INDEX(PT_DIFFERENTIATION_NTAR,MATCH(B154,PT_DIFFERENTIATION_NTAR_ID,0))</f>
        <v/>
      </c>
      <c r="H154" s="1788"/>
      <c r="I154" s="1666"/>
      <c r="J154" s="1700"/>
      <c r="K154" s="1705"/>
      <c r="L154" s="1788" t="s">
        <v>386</v>
      </c>
      <c r="M154" s="278"/>
      <c r="N154" s="271"/>
      <c r="O154" s="1551"/>
      <c r="P154" s="1551"/>
      <c r="AH154" s="1558">
        <v>0</v>
      </c>
    </row>
    <row r="155" spans="1:34" s="1562" customFormat="1" ht="18.75" hidden="1" customHeight="1">
      <c r="A155" s="1707"/>
      <c r="B155" s="1707"/>
      <c r="C155" s="306" t="s">
        <v>1224</v>
      </c>
      <c r="D155" s="2754"/>
      <c r="E155" s="2558"/>
      <c r="F155" s="2689"/>
      <c r="G155" s="2729"/>
      <c r="H155" s="1427"/>
      <c r="I155" s="588" t="s">
        <v>1223</v>
      </c>
      <c r="J155" s="508"/>
      <c r="K155" s="1427"/>
      <c r="L155" s="151"/>
      <c r="M155" s="278"/>
      <c r="N155" s="271"/>
      <c r="O155" s="1551"/>
      <c r="P155" s="1551"/>
      <c r="AH155" s="1558">
        <v>0</v>
      </c>
    </row>
    <row r="156" spans="1:34" s="1562" customFormat="1" ht="0.75" hidden="1" customHeight="1">
      <c r="A156" s="1707"/>
      <c r="B156" s="1707"/>
      <c r="C156" s="306" t="s">
        <v>1231</v>
      </c>
      <c r="D156" s="2754"/>
      <c r="E156" s="2558"/>
      <c r="F156" s="2689"/>
      <c r="G156" s="337"/>
      <c r="H156" s="1427"/>
      <c r="I156" s="588"/>
      <c r="J156" s="508"/>
      <c r="K156" s="1427"/>
      <c r="L156" s="151"/>
      <c r="M156" s="278"/>
      <c r="N156" s="271"/>
      <c r="O156" s="1551"/>
      <c r="P156" s="1551"/>
      <c r="AH156" s="1558">
        <v>0</v>
      </c>
    </row>
    <row r="157" spans="1:34" s="1562" customFormat="1" ht="45" hidden="1" customHeight="1">
      <c r="A157" s="1707" t="s">
        <v>239</v>
      </c>
      <c r="B157" s="1707" t="s">
        <v>240</v>
      </c>
      <c r="C157" s="306"/>
      <c r="D157" s="2754"/>
      <c r="E157" s="2558"/>
      <c r="F157" s="26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29" t="str">
        <f>INDEX(PT_DIFFERENTIATION_NTAR,MATCH(B157,PT_DIFFERENTIATION_NTAR_ID,0))</f>
        <v/>
      </c>
      <c r="H157" s="1788"/>
      <c r="I157" s="1666"/>
      <c r="J157" s="1700"/>
      <c r="K157" s="1705"/>
      <c r="L157" s="1788" t="s">
        <v>386</v>
      </c>
      <c r="M157" s="278"/>
      <c r="N157" s="271"/>
      <c r="O157" s="1551"/>
      <c r="P157" s="1551"/>
      <c r="AH157" s="1558">
        <v>0</v>
      </c>
    </row>
    <row r="158" spans="1:34" s="1562" customFormat="1" ht="18.75" hidden="1" customHeight="1">
      <c r="A158" s="1707"/>
      <c r="B158" s="1707"/>
      <c r="C158" s="306" t="s">
        <v>1224</v>
      </c>
      <c r="D158" s="2754"/>
      <c r="E158" s="2558"/>
      <c r="F158" s="2689"/>
      <c r="G158" s="2729"/>
      <c r="H158" s="1427"/>
      <c r="I158" s="588" t="s">
        <v>1223</v>
      </c>
      <c r="J158" s="508"/>
      <c r="K158" s="1427"/>
      <c r="L158" s="151"/>
      <c r="M158" s="278"/>
      <c r="N158" s="271"/>
      <c r="O158" s="1551"/>
      <c r="P158" s="1551"/>
      <c r="AH158" s="1558">
        <v>0</v>
      </c>
    </row>
    <row r="159" spans="1:34" s="1562" customFormat="1" ht="0.75" hidden="1" customHeight="1">
      <c r="A159" s="1707"/>
      <c r="B159" s="1707"/>
      <c r="C159" s="306" t="s">
        <v>1231</v>
      </c>
      <c r="D159" s="2754"/>
      <c r="E159" s="2558"/>
      <c r="F159" s="2689"/>
      <c r="G159" s="337"/>
      <c r="H159" s="1427"/>
      <c r="I159" s="588"/>
      <c r="J159" s="508"/>
      <c r="K159" s="1427"/>
      <c r="L159" s="151"/>
      <c r="M159" s="278"/>
      <c r="N159" s="271"/>
      <c r="O159" s="1551"/>
      <c r="P159" s="1551"/>
      <c r="AH159" s="1558">
        <v>0</v>
      </c>
    </row>
    <row r="160" spans="1:34" s="1562" customFormat="1" ht="18.75" hidden="1" customHeight="1">
      <c r="A160" s="1707" t="s">
        <v>245</v>
      </c>
      <c r="B160" s="1707" t="s">
        <v>246</v>
      </c>
      <c r="C160" s="306"/>
      <c r="D160" s="2754"/>
      <c r="E160" s="2558"/>
      <c r="F160" s="2689" t="str">
        <f>INDEX(PT_DIFFERENTIATION_VTAR,MATCH(A160,PT_DIFFERENTIATION_VTAR_ID,0))</f>
        <v>Тарифы на услуги по передаче тепловой энергии</v>
      </c>
      <c r="G160" s="2729" t="str">
        <f>INDEX(PT_DIFFERENTIATION_NTAR,MATCH(B160,PT_DIFFERENTIATION_NTAR_ID,0))</f>
        <v/>
      </c>
      <c r="H160" s="1788"/>
      <c r="I160" s="1666"/>
      <c r="J160" s="1700"/>
      <c r="K160" s="1705"/>
      <c r="L160" s="1788" t="s">
        <v>386</v>
      </c>
      <c r="M160" s="278"/>
      <c r="N160" s="271"/>
      <c r="O160" s="1551"/>
      <c r="P160" s="1551"/>
      <c r="AH160" s="1558">
        <v>0</v>
      </c>
    </row>
    <row r="161" spans="1:34" s="1562" customFormat="1" ht="18.75" hidden="1" customHeight="1">
      <c r="A161" s="1707"/>
      <c r="B161" s="1707"/>
      <c r="C161" s="306" t="s">
        <v>1224</v>
      </c>
      <c r="D161" s="2754"/>
      <c r="E161" s="2558"/>
      <c r="F161" s="2689"/>
      <c r="G161" s="2729"/>
      <c r="H161" s="1427"/>
      <c r="I161" s="588" t="s">
        <v>1223</v>
      </c>
      <c r="J161" s="508"/>
      <c r="K161" s="1427"/>
      <c r="L161" s="151"/>
      <c r="M161" s="278"/>
      <c r="N161" s="271"/>
      <c r="O161" s="1551"/>
      <c r="P161" s="1551"/>
      <c r="AH161" s="1558">
        <v>0</v>
      </c>
    </row>
    <row r="162" spans="1:34" s="1562" customFormat="1" ht="0.75" hidden="1" customHeight="1">
      <c r="A162" s="1707"/>
      <c r="B162" s="1707"/>
      <c r="C162" s="306" t="s">
        <v>1231</v>
      </c>
      <c r="D162" s="2754"/>
      <c r="E162" s="2558"/>
      <c r="F162" s="2689"/>
      <c r="G162" s="337"/>
      <c r="H162" s="1427"/>
      <c r="I162" s="588"/>
      <c r="J162" s="508"/>
      <c r="K162" s="1427"/>
      <c r="L162" s="151"/>
      <c r="M162" s="278"/>
      <c r="N162" s="271"/>
      <c r="O162" s="1551"/>
      <c r="P162" s="1551"/>
      <c r="AH162" s="1558">
        <v>0</v>
      </c>
    </row>
    <row r="163" spans="1:34" s="1562" customFormat="1" ht="18.75" hidden="1" customHeight="1">
      <c r="A163" s="1707" t="s">
        <v>251</v>
      </c>
      <c r="B163" s="1707" t="s">
        <v>252</v>
      </c>
      <c r="C163" s="306"/>
      <c r="D163" s="2754"/>
      <c r="E163" s="2558"/>
      <c r="F163" s="2689" t="str">
        <f>INDEX(PT_DIFFERENTIATION_VTAR,MATCH(A163,PT_DIFFERENTIATION_VTAR_ID,0))</f>
        <v>Тарифы на услуги по передаче теплоносителя</v>
      </c>
      <c r="G163" s="2729" t="str">
        <f>INDEX(PT_DIFFERENTIATION_NTAR,MATCH(B163,PT_DIFFERENTIATION_NTAR_ID,0))</f>
        <v/>
      </c>
      <c r="H163" s="1788"/>
      <c r="I163" s="1666"/>
      <c r="J163" s="1700"/>
      <c r="K163" s="1705"/>
      <c r="L163" s="1788" t="s">
        <v>386</v>
      </c>
      <c r="M163" s="278"/>
      <c r="N163" s="271"/>
      <c r="O163" s="1551"/>
      <c r="P163" s="1551"/>
      <c r="AH163" s="1558">
        <v>0</v>
      </c>
    </row>
    <row r="164" spans="1:34" s="1562" customFormat="1" ht="18.75" hidden="1" customHeight="1">
      <c r="A164" s="1707"/>
      <c r="B164" s="1707"/>
      <c r="C164" s="306" t="s">
        <v>1224</v>
      </c>
      <c r="D164" s="2754"/>
      <c r="E164" s="2558"/>
      <c r="F164" s="2689"/>
      <c r="G164" s="2729"/>
      <c r="H164" s="1427"/>
      <c r="I164" s="588" t="s">
        <v>1223</v>
      </c>
      <c r="J164" s="508"/>
      <c r="K164" s="1427"/>
      <c r="L164" s="151"/>
      <c r="M164" s="278"/>
      <c r="N164" s="271"/>
      <c r="O164" s="1551"/>
      <c r="P164" s="1551"/>
      <c r="AH164" s="1558">
        <v>0</v>
      </c>
    </row>
    <row r="165" spans="1:34" s="1562" customFormat="1" ht="0.75" hidden="1" customHeight="1">
      <c r="A165" s="1707"/>
      <c r="B165" s="1707"/>
      <c r="C165" s="306" t="s">
        <v>1231</v>
      </c>
      <c r="D165" s="2754"/>
      <c r="E165" s="2558"/>
      <c r="F165" s="2689"/>
      <c r="G165" s="337"/>
      <c r="H165" s="1427"/>
      <c r="I165" s="588"/>
      <c r="J165" s="508"/>
      <c r="K165" s="1427"/>
      <c r="L165" s="151"/>
      <c r="M165" s="278"/>
      <c r="N165" s="271"/>
      <c r="O165" s="1551"/>
      <c r="P165" s="1551"/>
      <c r="AH165" s="1558">
        <v>0</v>
      </c>
    </row>
    <row r="166" spans="1:34" s="1562" customFormat="1" ht="18.75" hidden="1" customHeight="1">
      <c r="A166" s="1707" t="s">
        <v>257</v>
      </c>
      <c r="B166" s="1707" t="s">
        <v>258</v>
      </c>
      <c r="C166" s="306"/>
      <c r="D166" s="2754"/>
      <c r="E166" s="2558"/>
      <c r="F166" s="26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29" t="str">
        <f>INDEX(PT_DIFFERENTIATION_NTAR,MATCH(B166,PT_DIFFERENTIATION_NTAR_ID,0))</f>
        <v/>
      </c>
      <c r="H166" s="1788"/>
      <c r="I166" s="1666"/>
      <c r="J166" s="1700"/>
      <c r="K166" s="1705"/>
      <c r="L166" s="1788" t="s">
        <v>386</v>
      </c>
      <c r="M166" s="278"/>
      <c r="N166" s="271"/>
      <c r="O166" s="1551"/>
      <c r="P166" s="1551"/>
      <c r="AH166" s="1558">
        <v>0</v>
      </c>
    </row>
    <row r="167" spans="1:34" s="1562" customFormat="1" ht="18.75" hidden="1" customHeight="1">
      <c r="A167" s="1707"/>
      <c r="B167" s="1707"/>
      <c r="C167" s="306" t="s">
        <v>1224</v>
      </c>
      <c r="D167" s="2754"/>
      <c r="E167" s="2558"/>
      <c r="F167" s="2689"/>
      <c r="G167" s="2729"/>
      <c r="H167" s="1427"/>
      <c r="I167" s="588" t="s">
        <v>1223</v>
      </c>
      <c r="J167" s="508"/>
      <c r="K167" s="1427"/>
      <c r="L167" s="151"/>
      <c r="M167" s="278"/>
      <c r="N167" s="271"/>
      <c r="O167" s="1551"/>
      <c r="P167" s="1551"/>
      <c r="AH167" s="1558">
        <v>0</v>
      </c>
    </row>
    <row r="168" spans="1:34" s="1562" customFormat="1" ht="0.75" hidden="1" customHeight="1">
      <c r="A168" s="1707"/>
      <c r="B168" s="1707"/>
      <c r="C168" s="306" t="s">
        <v>1231</v>
      </c>
      <c r="D168" s="2754"/>
      <c r="E168" s="2558"/>
      <c r="F168" s="2689"/>
      <c r="G168" s="337"/>
      <c r="H168" s="1427"/>
      <c r="I168" s="588"/>
      <c r="J168" s="508"/>
      <c r="K168" s="1427"/>
      <c r="L168" s="151"/>
      <c r="M168" s="278"/>
      <c r="N168" s="271"/>
      <c r="O168" s="1551"/>
      <c r="P168" s="1551"/>
      <c r="AH168" s="1558">
        <v>0</v>
      </c>
    </row>
    <row r="169" spans="1:34" s="1562" customFormat="1" ht="18.75" hidden="1" customHeight="1">
      <c r="A169" s="1707" t="s">
        <v>263</v>
      </c>
      <c r="B169" s="1707" t="s">
        <v>264</v>
      </c>
      <c r="C169" s="306"/>
      <c r="D169" s="2754"/>
      <c r="E169" s="2558"/>
      <c r="F169" s="2689" t="str">
        <f>INDEX(PT_DIFFERENTIATION_VTAR,MATCH(A169,PT_DIFFERENTIATION_VTAR_ID,0))</f>
        <v>Плата за подключение (технологическое присоединение) к системе теплоснабжения</v>
      </c>
      <c r="G169" s="2729" t="str">
        <f>INDEX(PT_DIFFERENTIATION_NTAR,MATCH(B169,PT_DIFFERENTIATION_NTAR_ID,0))</f>
        <v/>
      </c>
      <c r="H169" s="1788"/>
      <c r="I169" s="1666"/>
      <c r="J169" s="1700"/>
      <c r="K169" s="1705"/>
      <c r="L169" s="1788" t="s">
        <v>386</v>
      </c>
      <c r="M169" s="278"/>
      <c r="N169" s="271"/>
      <c r="O169" s="1551"/>
      <c r="P169" s="1551"/>
      <c r="AH169" s="1558">
        <v>0</v>
      </c>
    </row>
    <row r="170" spans="1:34" s="1562" customFormat="1" ht="18.75" hidden="1" customHeight="1">
      <c r="A170" s="1707"/>
      <c r="B170" s="1707"/>
      <c r="C170" s="306" t="s">
        <v>1224</v>
      </c>
      <c r="D170" s="2754"/>
      <c r="E170" s="2558"/>
      <c r="F170" s="2689"/>
      <c r="G170" s="2729"/>
      <c r="H170" s="1427"/>
      <c r="I170" s="588" t="s">
        <v>1223</v>
      </c>
      <c r="J170" s="508"/>
      <c r="K170" s="1427"/>
      <c r="L170" s="151"/>
      <c r="M170" s="278"/>
      <c r="N170" s="271"/>
      <c r="O170" s="1551"/>
      <c r="P170" s="1551"/>
      <c r="AH170" s="1558">
        <v>0</v>
      </c>
    </row>
    <row r="171" spans="1:34" s="1562" customFormat="1" ht="0.75" hidden="1" customHeight="1">
      <c r="A171" s="1707"/>
      <c r="B171" s="1707"/>
      <c r="C171" s="306" t="s">
        <v>1231</v>
      </c>
      <c r="D171" s="2754"/>
      <c r="E171" s="2558"/>
      <c r="F171" s="2689"/>
      <c r="G171" s="337"/>
      <c r="H171" s="1427"/>
      <c r="I171" s="588"/>
      <c r="J171" s="508"/>
      <c r="K171" s="1427"/>
      <c r="L171" s="151"/>
      <c r="M171" s="278"/>
      <c r="N171" s="271"/>
      <c r="O171" s="1551"/>
      <c r="P171" s="1551"/>
      <c r="AH171" s="1558">
        <v>0</v>
      </c>
    </row>
    <row r="172" spans="1:34" s="1562" customFormat="1" ht="18.75" hidden="1" customHeight="1">
      <c r="A172" s="1707" t="s">
        <v>269</v>
      </c>
      <c r="B172" s="1707" t="s">
        <v>270</v>
      </c>
      <c r="C172" s="306"/>
      <c r="D172" s="2754"/>
      <c r="E172" s="2558"/>
      <c r="F172" s="2689" t="str">
        <f>INDEX(PT_DIFFERENTIATION_VTAR,MATCH(A172,PT_DIFFERENTIATION_VTAR_ID,0))</f>
        <v>Плата за подключение (технологическое присоединение) к системе теплоснабжения (индивидуальная)</v>
      </c>
      <c r="G172" s="2729" t="str">
        <f>INDEX(PT_DIFFERENTIATION_NTAR,MATCH(B172,PT_DIFFERENTIATION_NTAR_ID,0))</f>
        <v/>
      </c>
      <c r="H172" s="1912"/>
      <c r="I172" s="1666"/>
      <c r="J172" s="1700"/>
      <c r="K172" s="1705"/>
      <c r="L172" s="1912" t="s">
        <v>386</v>
      </c>
      <c r="M172" s="278"/>
      <c r="N172" s="271"/>
      <c r="O172" s="1551"/>
      <c r="P172" s="1551"/>
      <c r="AH172" s="1558">
        <v>0</v>
      </c>
    </row>
    <row r="173" spans="1:34" s="1562" customFormat="1" ht="18.75" hidden="1" customHeight="1">
      <c r="A173" s="1707"/>
      <c r="B173" s="1707"/>
      <c r="C173" s="306" t="s">
        <v>1224</v>
      </c>
      <c r="D173" s="2754"/>
      <c r="E173" s="2558"/>
      <c r="F173" s="2689"/>
      <c r="G173" s="2729"/>
      <c r="H173" s="1427"/>
      <c r="I173" s="588" t="s">
        <v>1223</v>
      </c>
      <c r="J173" s="508"/>
      <c r="K173" s="1427"/>
      <c r="L173" s="151"/>
      <c r="M173" s="278"/>
      <c r="N173" s="271"/>
      <c r="O173" s="1551"/>
      <c r="P173" s="1551"/>
      <c r="AH173" s="1558">
        <v>0</v>
      </c>
    </row>
    <row r="174" spans="1:34" s="1562" customFormat="1" ht="0.75" hidden="1" customHeight="1">
      <c r="A174" s="1707"/>
      <c r="B174" s="1707"/>
      <c r="C174" s="306" t="s">
        <v>1231</v>
      </c>
      <c r="D174" s="2754"/>
      <c r="E174" s="2558"/>
      <c r="F174" s="2689"/>
      <c r="G174" s="337"/>
      <c r="H174" s="1427"/>
      <c r="I174" s="588"/>
      <c r="J174" s="508"/>
      <c r="K174" s="1427"/>
      <c r="L174" s="151"/>
      <c r="M174" s="278"/>
      <c r="N174" s="271"/>
      <c r="O174" s="1551"/>
      <c r="P174" s="1551"/>
      <c r="AH174" s="1558">
        <v>0</v>
      </c>
    </row>
    <row r="175" spans="1:34" s="1562" customFormat="1" ht="18.75" hidden="1" customHeight="1">
      <c r="A175" s="1707" t="s">
        <v>291</v>
      </c>
      <c r="B175" s="1707" t="s">
        <v>292</v>
      </c>
      <c r="C175" s="306"/>
      <c r="D175" s="2754"/>
      <c r="E175" s="2558"/>
      <c r="F175" s="2689" t="str">
        <f>INDEX(PT_DIFFERENTIATION_VTAR,MATCH(A175,PT_DIFFERENTIATION_VTAR_ID,0))</f>
        <v>Тариф на питьевую воду (питьевое водоснабжение)</v>
      </c>
      <c r="G175" s="2729" t="str">
        <f>INDEX(PT_DIFFERENTIATION_NTAR,MATCH(B175,PT_DIFFERENTIATION_NTAR_ID,0))</f>
        <v>Тариф на холодное водоснабжение (питьевая)</v>
      </c>
      <c r="H175" s="1788"/>
      <c r="I175" s="1666"/>
      <c r="J175" s="1700"/>
      <c r="K175" s="1705"/>
      <c r="L175" s="1788" t="s">
        <v>386</v>
      </c>
      <c r="M175" s="278"/>
      <c r="N175" s="271"/>
      <c r="O175" s="1551"/>
      <c r="P175" s="1551"/>
      <c r="AH175" s="1558">
        <v>0</v>
      </c>
    </row>
    <row r="176" spans="1:34" s="1562" customFormat="1" ht="18.75" hidden="1" customHeight="1">
      <c r="A176" s="1707"/>
      <c r="B176" s="1707"/>
      <c r="C176" s="306" t="s">
        <v>1224</v>
      </c>
      <c r="D176" s="2754"/>
      <c r="E176" s="2558"/>
      <c r="F176" s="2689"/>
      <c r="G176" s="2729"/>
      <c r="H176" s="1427"/>
      <c r="I176" s="588" t="s">
        <v>1223</v>
      </c>
      <c r="J176" s="508"/>
      <c r="K176" s="1427"/>
      <c r="L176" s="151"/>
      <c r="M176" s="278"/>
      <c r="N176" s="271"/>
      <c r="O176" s="1551"/>
      <c r="P176" s="1551"/>
      <c r="AH176" s="1558">
        <v>0</v>
      </c>
    </row>
    <row r="177" spans="1:34" s="1562" customFormat="1" ht="0.75" hidden="1" customHeight="1">
      <c r="A177" s="1707"/>
      <c r="B177" s="1707"/>
      <c r="C177" s="306" t="s">
        <v>1231</v>
      </c>
      <c r="D177" s="2754"/>
      <c r="E177" s="2558"/>
      <c r="F177" s="2689"/>
      <c r="G177" s="337"/>
      <c r="H177" s="1427"/>
      <c r="I177" s="588"/>
      <c r="J177" s="508"/>
      <c r="K177" s="1427"/>
      <c r="L177" s="151"/>
      <c r="M177" s="278"/>
      <c r="N177" s="271"/>
      <c r="O177" s="1551"/>
      <c r="P177" s="1551"/>
      <c r="AH177" s="1558">
        <v>0</v>
      </c>
    </row>
    <row r="178" spans="1:34" s="1562" customFormat="1" ht="18.75" hidden="1" customHeight="1">
      <c r="A178" s="1707" t="s">
        <v>304</v>
      </c>
      <c r="B178" s="1707" t="s">
        <v>305</v>
      </c>
      <c r="C178" s="306"/>
      <c r="D178" s="2754"/>
      <c r="E178" s="2558"/>
      <c r="F178" s="2689" t="str">
        <f>INDEX(PT_DIFFERENTIATION_VTAR,MATCH(A178,PT_DIFFERENTIATION_VTAR_ID,0))</f>
        <v>Тариф на техническую воду</v>
      </c>
      <c r="G178" s="2729" t="str">
        <f>INDEX(PT_DIFFERENTIATION_NTAR,MATCH(B178,PT_DIFFERENTIATION_NTAR_ID,0))</f>
        <v>Тариф на холодное водоснабжение (техническая)</v>
      </c>
      <c r="H178" s="1788"/>
      <c r="I178" s="1666"/>
      <c r="J178" s="1700"/>
      <c r="K178" s="1705"/>
      <c r="L178" s="1788" t="s">
        <v>386</v>
      </c>
      <c r="M178" s="278"/>
      <c r="N178" s="271"/>
      <c r="O178" s="1551"/>
      <c r="P178" s="1551"/>
      <c r="AH178" s="1558">
        <v>0</v>
      </c>
    </row>
    <row r="179" spans="1:34" s="1562" customFormat="1" ht="18.75" hidden="1" customHeight="1">
      <c r="A179" s="1707"/>
      <c r="B179" s="1707"/>
      <c r="C179" s="306" t="s">
        <v>1224</v>
      </c>
      <c r="D179" s="2754"/>
      <c r="E179" s="2558"/>
      <c r="F179" s="2689"/>
      <c r="G179" s="2729"/>
      <c r="H179" s="1427"/>
      <c r="I179" s="588" t="s">
        <v>1223</v>
      </c>
      <c r="J179" s="508"/>
      <c r="K179" s="1427"/>
      <c r="L179" s="151"/>
      <c r="M179" s="278"/>
      <c r="N179" s="271"/>
      <c r="O179" s="1551"/>
      <c r="P179" s="1551"/>
      <c r="AH179" s="1558">
        <v>0</v>
      </c>
    </row>
    <row r="180" spans="1:34" s="1562" customFormat="1" ht="0.75" hidden="1" customHeight="1">
      <c r="A180" s="1707"/>
      <c r="B180" s="1707"/>
      <c r="C180" s="306" t="s">
        <v>1231</v>
      </c>
      <c r="D180" s="2754"/>
      <c r="E180" s="2558"/>
      <c r="F180" s="2689"/>
      <c r="G180" s="337"/>
      <c r="H180" s="1427"/>
      <c r="I180" s="588"/>
      <c r="J180" s="508"/>
      <c r="K180" s="1427"/>
      <c r="L180" s="151"/>
      <c r="M180" s="278"/>
      <c r="N180" s="271"/>
      <c r="O180" s="1551"/>
      <c r="P180" s="1551"/>
      <c r="AH180" s="1558">
        <v>0</v>
      </c>
    </row>
    <row r="181" spans="1:34" s="1562" customFormat="1" ht="18.75" hidden="1" customHeight="1">
      <c r="A181" s="1707" t="s">
        <v>315</v>
      </c>
      <c r="B181" s="1707" t="s">
        <v>316</v>
      </c>
      <c r="C181" s="306"/>
      <c r="D181" s="2754"/>
      <c r="E181" s="2558"/>
      <c r="F181" s="2689" t="str">
        <f>INDEX(PT_DIFFERENTIATION_VTAR,MATCH(A181,PT_DIFFERENTIATION_VTAR_ID,0))</f>
        <v>Тариф на транспортировку воды</v>
      </c>
      <c r="G181" s="2729" t="str">
        <f>INDEX(PT_DIFFERENTIATION_NTAR,MATCH(B181,PT_DIFFERENTIATION_NTAR_ID,0))</f>
        <v/>
      </c>
      <c r="H181" s="1788"/>
      <c r="I181" s="1666"/>
      <c r="J181" s="1700"/>
      <c r="K181" s="1705"/>
      <c r="L181" s="1788" t="s">
        <v>386</v>
      </c>
      <c r="M181" s="278"/>
      <c r="N181" s="271"/>
      <c r="O181" s="1551"/>
      <c r="P181" s="1551"/>
      <c r="AH181" s="1558">
        <v>0</v>
      </c>
    </row>
    <row r="182" spans="1:34" s="1562" customFormat="1" ht="18.75" hidden="1" customHeight="1">
      <c r="A182" s="1707"/>
      <c r="B182" s="1707"/>
      <c r="C182" s="306" t="s">
        <v>1224</v>
      </c>
      <c r="D182" s="2754"/>
      <c r="E182" s="2558"/>
      <c r="F182" s="2689"/>
      <c r="G182" s="2729"/>
      <c r="H182" s="1427"/>
      <c r="I182" s="588" t="s">
        <v>1223</v>
      </c>
      <c r="J182" s="508"/>
      <c r="K182" s="1427"/>
      <c r="L182" s="151"/>
      <c r="M182" s="278"/>
      <c r="N182" s="271"/>
      <c r="O182" s="1551"/>
      <c r="P182" s="1551"/>
      <c r="AH182" s="1558">
        <v>0</v>
      </c>
    </row>
    <row r="183" spans="1:34" s="1562" customFormat="1" ht="0.75" hidden="1" customHeight="1">
      <c r="A183" s="1707"/>
      <c r="B183" s="1707"/>
      <c r="C183" s="306" t="s">
        <v>1231</v>
      </c>
      <c r="D183" s="2754"/>
      <c r="E183" s="2558"/>
      <c r="F183" s="2689"/>
      <c r="G183" s="337"/>
      <c r="H183" s="1427"/>
      <c r="I183" s="588"/>
      <c r="J183" s="508"/>
      <c r="K183" s="1427"/>
      <c r="L183" s="151"/>
      <c r="M183" s="278"/>
      <c r="N183" s="271"/>
      <c r="O183" s="1551"/>
      <c r="P183" s="1551"/>
      <c r="AH183" s="1558">
        <v>0</v>
      </c>
    </row>
    <row r="184" spans="1:34" s="1562" customFormat="1" ht="18.75" hidden="1" customHeight="1">
      <c r="A184" s="1707" t="s">
        <v>320</v>
      </c>
      <c r="B184" s="1707" t="s">
        <v>321</v>
      </c>
      <c r="C184" s="306"/>
      <c r="D184" s="2754"/>
      <c r="E184" s="2558"/>
      <c r="F184" s="2689" t="str">
        <f>INDEX(PT_DIFFERENTIATION_VTAR,MATCH(A184,PT_DIFFERENTIATION_VTAR_ID,0))</f>
        <v>Тариф на подвоз воды</v>
      </c>
      <c r="G184" s="2729" t="str">
        <f>INDEX(PT_DIFFERENTIATION_NTAR,MATCH(B184,PT_DIFFERENTIATION_NTAR_ID,0))</f>
        <v/>
      </c>
      <c r="H184" s="1788"/>
      <c r="I184" s="1666"/>
      <c r="J184" s="1700"/>
      <c r="K184" s="1705"/>
      <c r="L184" s="1788" t="s">
        <v>386</v>
      </c>
      <c r="M184" s="278"/>
      <c r="N184" s="271"/>
      <c r="O184" s="1551"/>
      <c r="P184" s="1551"/>
      <c r="AH184" s="1558">
        <v>0</v>
      </c>
    </row>
    <row r="185" spans="1:34" s="1562" customFormat="1" ht="18.75" hidden="1" customHeight="1">
      <c r="A185" s="1707"/>
      <c r="B185" s="1707"/>
      <c r="C185" s="306" t="s">
        <v>1224</v>
      </c>
      <c r="D185" s="2754"/>
      <c r="E185" s="2558"/>
      <c r="F185" s="2689"/>
      <c r="G185" s="2729"/>
      <c r="H185" s="1427"/>
      <c r="I185" s="588" t="s">
        <v>1223</v>
      </c>
      <c r="J185" s="508"/>
      <c r="K185" s="1427"/>
      <c r="L185" s="151"/>
      <c r="M185" s="278"/>
      <c r="N185" s="271"/>
      <c r="O185" s="1551"/>
      <c r="P185" s="1551"/>
      <c r="AH185" s="1558">
        <v>0</v>
      </c>
    </row>
    <row r="186" spans="1:34" s="1562" customFormat="1" ht="0.75" hidden="1" customHeight="1">
      <c r="A186" s="1707"/>
      <c r="B186" s="1707"/>
      <c r="C186" s="306" t="s">
        <v>1231</v>
      </c>
      <c r="D186" s="2754"/>
      <c r="E186" s="2558"/>
      <c r="F186" s="2689"/>
      <c r="G186" s="337"/>
      <c r="H186" s="1427"/>
      <c r="I186" s="588"/>
      <c r="J186" s="508"/>
      <c r="K186" s="1427"/>
      <c r="L186" s="151"/>
      <c r="M186" s="278"/>
      <c r="N186" s="271"/>
      <c r="O186" s="1551"/>
      <c r="P186" s="1551"/>
      <c r="AH186" s="1558">
        <v>0</v>
      </c>
    </row>
    <row r="187" spans="1:34" s="1562" customFormat="1" ht="18.75" hidden="1" customHeight="1">
      <c r="A187" s="1707" t="s">
        <v>325</v>
      </c>
      <c r="B187" s="1707" t="s">
        <v>326</v>
      </c>
      <c r="C187" s="306"/>
      <c r="D187" s="2754"/>
      <c r="E187" s="2558"/>
      <c r="F187" s="26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29" t="str">
        <f>INDEX(PT_DIFFERENTIATION_NTAR,MATCH(B187,PT_DIFFERENTIATION_NTAR_ID,0))</f>
        <v/>
      </c>
      <c r="H187" s="1788"/>
      <c r="I187" s="1666"/>
      <c r="J187" s="1700"/>
      <c r="K187" s="1705"/>
      <c r="L187" s="1788" t="s">
        <v>386</v>
      </c>
      <c r="M187" s="278"/>
      <c r="N187" s="271"/>
      <c r="O187" s="1551"/>
      <c r="P187" s="1551"/>
      <c r="AH187" s="1558">
        <v>0</v>
      </c>
    </row>
    <row r="188" spans="1:34" s="1562" customFormat="1" ht="18.75" hidden="1" customHeight="1">
      <c r="A188" s="1707"/>
      <c r="B188" s="1707"/>
      <c r="C188" s="306" t="s">
        <v>1224</v>
      </c>
      <c r="D188" s="2754"/>
      <c r="E188" s="2558"/>
      <c r="F188" s="2689"/>
      <c r="G188" s="2729"/>
      <c r="H188" s="1427"/>
      <c r="I188" s="588" t="s">
        <v>1223</v>
      </c>
      <c r="J188" s="508"/>
      <c r="K188" s="1427"/>
      <c r="L188" s="151"/>
      <c r="M188" s="278"/>
      <c r="N188" s="271"/>
      <c r="O188" s="1551"/>
      <c r="P188" s="1551"/>
      <c r="AH188" s="1558">
        <v>0</v>
      </c>
    </row>
    <row r="189" spans="1:34" s="1562" customFormat="1" ht="0.75" hidden="1" customHeight="1">
      <c r="A189" s="1707"/>
      <c r="B189" s="1707"/>
      <c r="C189" s="306" t="s">
        <v>1231</v>
      </c>
      <c r="D189" s="2754"/>
      <c r="E189" s="2558"/>
      <c r="F189" s="2689"/>
      <c r="G189" s="337"/>
      <c r="H189" s="1427"/>
      <c r="I189" s="588"/>
      <c r="J189" s="508"/>
      <c r="K189" s="1427"/>
      <c r="L189" s="151"/>
      <c r="M189" s="278"/>
      <c r="N189" s="271"/>
      <c r="O189" s="1551"/>
      <c r="P189" s="1551"/>
      <c r="AH189" s="1558">
        <v>0</v>
      </c>
    </row>
    <row r="190" spans="1:34" s="1562" customFormat="1" ht="18.75" hidden="1" customHeight="1">
      <c r="A190" s="1707" t="s">
        <v>330</v>
      </c>
      <c r="B190" s="1707" t="s">
        <v>331</v>
      </c>
      <c r="C190" s="306"/>
      <c r="D190" s="2754"/>
      <c r="E190" s="2558"/>
      <c r="F190" s="2689" t="str">
        <f>INDEX(PT_DIFFERENTIATION_VTAR,MATCH(A190,PT_DIFFERENTIATION_VTAR_ID,0))</f>
        <v>Тариф на горячую воду (горячее водоснабжение)</v>
      </c>
      <c r="G190" s="2729" t="str">
        <f>INDEX(PT_DIFFERENTIATION_NTAR,MATCH(B190,PT_DIFFERENTIATION_NTAR_ID,0))</f>
        <v/>
      </c>
      <c r="H190" s="1788"/>
      <c r="I190" s="1666"/>
      <c r="J190" s="1700"/>
      <c r="K190" s="1705"/>
      <c r="L190" s="1788" t="s">
        <v>386</v>
      </c>
      <c r="M190" s="278"/>
      <c r="N190" s="271"/>
      <c r="O190" s="1551"/>
      <c r="P190" s="1551"/>
      <c r="AH190" s="1558">
        <v>0</v>
      </c>
    </row>
    <row r="191" spans="1:34" s="1562" customFormat="1" ht="18.75" hidden="1" customHeight="1">
      <c r="A191" s="1707"/>
      <c r="B191" s="1707"/>
      <c r="C191" s="306" t="s">
        <v>1224</v>
      </c>
      <c r="D191" s="2754"/>
      <c r="E191" s="2558"/>
      <c r="F191" s="2689"/>
      <c r="G191" s="2729"/>
      <c r="H191" s="1427"/>
      <c r="I191" s="588" t="s">
        <v>1223</v>
      </c>
      <c r="J191" s="508"/>
      <c r="K191" s="1427"/>
      <c r="L191" s="151"/>
      <c r="M191" s="278"/>
      <c r="N191" s="271"/>
      <c r="O191" s="1551"/>
      <c r="P191" s="1551"/>
      <c r="AH191" s="1558">
        <v>0</v>
      </c>
    </row>
    <row r="192" spans="1:34" s="1562" customFormat="1" ht="0.75" hidden="1" customHeight="1">
      <c r="A192" s="1707"/>
      <c r="B192" s="1707"/>
      <c r="C192" s="306" t="s">
        <v>1231</v>
      </c>
      <c r="D192" s="2754"/>
      <c r="E192" s="2558"/>
      <c r="F192" s="2689"/>
      <c r="G192" s="337"/>
      <c r="H192" s="1427"/>
      <c r="I192" s="588"/>
      <c r="J192" s="508"/>
      <c r="K192" s="1427"/>
      <c r="L192" s="151"/>
      <c r="M192" s="278"/>
      <c r="N192" s="271"/>
      <c r="O192" s="1551"/>
      <c r="P192" s="1551"/>
      <c r="AH192" s="1558">
        <v>0</v>
      </c>
    </row>
    <row r="193" spans="1:34" s="1562" customFormat="1" ht="18.75" hidden="1" customHeight="1">
      <c r="A193" s="1707" t="s">
        <v>335</v>
      </c>
      <c r="B193" s="1707" t="s">
        <v>336</v>
      </c>
      <c r="C193" s="306"/>
      <c r="D193" s="2754"/>
      <c r="E193" s="2558"/>
      <c r="F193" s="2689" t="str">
        <f>INDEX(PT_DIFFERENTIATION_VTAR,MATCH(A193,PT_DIFFERENTIATION_VTAR_ID,0))</f>
        <v>Тариф на транспортировку горячей воды</v>
      </c>
      <c r="G193" s="2729" t="str">
        <f>INDEX(PT_DIFFERENTIATION_NTAR,MATCH(B193,PT_DIFFERENTIATION_NTAR_ID,0))</f>
        <v/>
      </c>
      <c r="H193" s="1788"/>
      <c r="I193" s="1666"/>
      <c r="J193" s="1700"/>
      <c r="K193" s="1705"/>
      <c r="L193" s="1788" t="s">
        <v>386</v>
      </c>
      <c r="M193" s="278"/>
      <c r="N193" s="271"/>
      <c r="O193" s="1551"/>
      <c r="P193" s="1551"/>
      <c r="AH193" s="1558">
        <v>0</v>
      </c>
    </row>
    <row r="194" spans="1:34" s="1562" customFormat="1" ht="18.75" hidden="1" customHeight="1">
      <c r="A194" s="1707"/>
      <c r="B194" s="1707"/>
      <c r="C194" s="306" t="s">
        <v>1224</v>
      </c>
      <c r="D194" s="2754"/>
      <c r="E194" s="2558"/>
      <c r="F194" s="2689"/>
      <c r="G194" s="2729"/>
      <c r="H194" s="1427"/>
      <c r="I194" s="588" t="s">
        <v>1223</v>
      </c>
      <c r="J194" s="508"/>
      <c r="K194" s="1427"/>
      <c r="L194" s="151"/>
      <c r="M194" s="278"/>
      <c r="N194" s="271"/>
      <c r="O194" s="1551"/>
      <c r="P194" s="1551"/>
      <c r="AH194" s="1558">
        <v>0</v>
      </c>
    </row>
    <row r="195" spans="1:34" s="1562" customFormat="1" ht="0.75" hidden="1" customHeight="1">
      <c r="A195" s="1707"/>
      <c r="B195" s="1707"/>
      <c r="C195" s="306" t="s">
        <v>1231</v>
      </c>
      <c r="D195" s="2754"/>
      <c r="E195" s="2558"/>
      <c r="F195" s="2689"/>
      <c r="G195" s="337"/>
      <c r="H195" s="1427"/>
      <c r="I195" s="588"/>
      <c r="J195" s="508"/>
      <c r="K195" s="1427"/>
      <c r="L195" s="151"/>
      <c r="M195" s="278"/>
      <c r="N195" s="271"/>
      <c r="O195" s="1551"/>
      <c r="P195" s="1551"/>
      <c r="AH195" s="1558">
        <v>0</v>
      </c>
    </row>
    <row r="196" spans="1:34" s="1562" customFormat="1" ht="18.75" hidden="1" customHeight="1">
      <c r="A196" s="1707" t="s">
        <v>340</v>
      </c>
      <c r="B196" s="1707" t="s">
        <v>341</v>
      </c>
      <c r="C196" s="306"/>
      <c r="D196" s="2754"/>
      <c r="E196" s="2558"/>
      <c r="F196" s="26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29" t="str">
        <f>INDEX(PT_DIFFERENTIATION_NTAR,MATCH(B196,PT_DIFFERENTIATION_NTAR_ID,0))</f>
        <v/>
      </c>
      <c r="H196" s="1788"/>
      <c r="I196" s="1666"/>
      <c r="J196" s="1700"/>
      <c r="K196" s="1705"/>
      <c r="L196" s="1788" t="s">
        <v>386</v>
      </c>
      <c r="M196" s="278"/>
      <c r="N196" s="271"/>
      <c r="O196" s="1551"/>
      <c r="P196" s="1551"/>
      <c r="AH196" s="1558">
        <v>0</v>
      </c>
    </row>
    <row r="197" spans="1:34" s="1562" customFormat="1" ht="18.75" hidden="1" customHeight="1">
      <c r="A197" s="1707"/>
      <c r="B197" s="1707"/>
      <c r="C197" s="306" t="s">
        <v>1224</v>
      </c>
      <c r="D197" s="2754"/>
      <c r="E197" s="2558"/>
      <c r="F197" s="2689"/>
      <c r="G197" s="2729"/>
      <c r="H197" s="1427"/>
      <c r="I197" s="588" t="s">
        <v>1223</v>
      </c>
      <c r="J197" s="508"/>
      <c r="K197" s="1427"/>
      <c r="L197" s="151"/>
      <c r="M197" s="278"/>
      <c r="N197" s="271"/>
      <c r="O197" s="1551"/>
      <c r="P197" s="1551"/>
      <c r="AH197" s="1558">
        <v>0</v>
      </c>
    </row>
    <row r="198" spans="1:34" s="1562" customFormat="1" ht="0.75" hidden="1" customHeight="1">
      <c r="A198" s="1707"/>
      <c r="B198" s="1707"/>
      <c r="C198" s="306" t="s">
        <v>1231</v>
      </c>
      <c r="D198" s="2754"/>
      <c r="E198" s="2558"/>
      <c r="F198" s="2689"/>
      <c r="G198" s="337"/>
      <c r="H198" s="1427"/>
      <c r="I198" s="588"/>
      <c r="J198" s="508"/>
      <c r="K198" s="1427"/>
      <c r="L198" s="151"/>
      <c r="M198" s="278"/>
      <c r="N198" s="271"/>
      <c r="O198" s="1551"/>
      <c r="P198" s="1551"/>
      <c r="AH198" s="1558">
        <v>0</v>
      </c>
    </row>
    <row r="199" spans="1:34" s="1562" customFormat="1" ht="18.75" hidden="1" customHeight="1">
      <c r="A199" s="1707" t="s">
        <v>345</v>
      </c>
      <c r="B199" s="1707" t="s">
        <v>346</v>
      </c>
      <c r="C199" s="306"/>
      <c r="D199" s="2754"/>
      <c r="E199" s="2558"/>
      <c r="F199" s="2689" t="str">
        <f>INDEX(PT_DIFFERENTIATION_VTAR,MATCH(A199,PT_DIFFERENTIATION_VTAR_ID,0))</f>
        <v>Тариф на водоотведение</v>
      </c>
      <c r="G199" s="2729" t="str">
        <f>INDEX(PT_DIFFERENTIATION_NTAR,MATCH(B199,PT_DIFFERENTIATION_NTAR_ID,0))</f>
        <v/>
      </c>
      <c r="H199" s="1788"/>
      <c r="I199" s="1666"/>
      <c r="J199" s="1700"/>
      <c r="K199" s="1705"/>
      <c r="L199" s="1788" t="s">
        <v>386</v>
      </c>
      <c r="M199" s="278"/>
      <c r="N199" s="271"/>
      <c r="O199" s="1551"/>
      <c r="P199" s="1551"/>
      <c r="AH199" s="1558">
        <v>0</v>
      </c>
    </row>
    <row r="200" spans="1:34" s="1562" customFormat="1" ht="18.75" hidden="1" customHeight="1">
      <c r="A200" s="1707"/>
      <c r="B200" s="1707"/>
      <c r="C200" s="306" t="s">
        <v>1224</v>
      </c>
      <c r="D200" s="2754"/>
      <c r="E200" s="2558"/>
      <c r="F200" s="2689"/>
      <c r="G200" s="2729"/>
      <c r="H200" s="1427"/>
      <c r="I200" s="588" t="s">
        <v>1223</v>
      </c>
      <c r="J200" s="508"/>
      <c r="K200" s="1427"/>
      <c r="L200" s="151"/>
      <c r="M200" s="278"/>
      <c r="N200" s="271"/>
      <c r="O200" s="1551"/>
      <c r="P200" s="1551"/>
      <c r="AH200" s="1558">
        <v>0</v>
      </c>
    </row>
    <row r="201" spans="1:34" s="1562" customFormat="1" ht="0.75" hidden="1" customHeight="1">
      <c r="A201" s="1707"/>
      <c r="B201" s="1707"/>
      <c r="C201" s="306" t="s">
        <v>1231</v>
      </c>
      <c r="D201" s="2754"/>
      <c r="E201" s="2558"/>
      <c r="F201" s="2689"/>
      <c r="G201" s="337"/>
      <c r="H201" s="1427"/>
      <c r="I201" s="588"/>
      <c r="J201" s="508"/>
      <c r="K201" s="1427"/>
      <c r="L201" s="151"/>
      <c r="M201" s="278"/>
      <c r="N201" s="271"/>
      <c r="O201" s="1551"/>
      <c r="P201" s="1551"/>
      <c r="AH201" s="1558">
        <v>0</v>
      </c>
    </row>
    <row r="202" spans="1:34" s="1562" customFormat="1" ht="18.75" hidden="1" customHeight="1">
      <c r="A202" s="1707" t="s">
        <v>350</v>
      </c>
      <c r="B202" s="1707" t="s">
        <v>351</v>
      </c>
      <c r="C202" s="306"/>
      <c r="D202" s="2754"/>
      <c r="E202" s="2558"/>
      <c r="F202" s="2689" t="str">
        <f>INDEX(PT_DIFFERENTIATION_VTAR,MATCH(A202,PT_DIFFERENTIATION_VTAR_ID,0))</f>
        <v>Тариф на транспортировку сточных вод</v>
      </c>
      <c r="G202" s="2729" t="str">
        <f>INDEX(PT_DIFFERENTIATION_NTAR,MATCH(B202,PT_DIFFERENTIATION_NTAR_ID,0))</f>
        <v/>
      </c>
      <c r="H202" s="1788"/>
      <c r="I202" s="1666"/>
      <c r="J202" s="1700"/>
      <c r="K202" s="1705"/>
      <c r="L202" s="1788" t="s">
        <v>386</v>
      </c>
      <c r="M202" s="278"/>
      <c r="N202" s="271"/>
      <c r="O202" s="1551"/>
      <c r="P202" s="1551"/>
      <c r="AH202" s="1558">
        <v>0</v>
      </c>
    </row>
    <row r="203" spans="1:34" s="1562" customFormat="1" ht="18.75" hidden="1" customHeight="1">
      <c r="A203" s="1707"/>
      <c r="B203" s="1707"/>
      <c r="C203" s="306" t="s">
        <v>1224</v>
      </c>
      <c r="D203" s="2754"/>
      <c r="E203" s="2558"/>
      <c r="F203" s="2689"/>
      <c r="G203" s="2729"/>
      <c r="H203" s="1427"/>
      <c r="I203" s="588" t="s">
        <v>1223</v>
      </c>
      <c r="J203" s="508"/>
      <c r="K203" s="1427"/>
      <c r="L203" s="151"/>
      <c r="M203" s="278"/>
      <c r="N203" s="271"/>
      <c r="O203" s="1551"/>
      <c r="P203" s="1551"/>
      <c r="AH203" s="1558">
        <v>0</v>
      </c>
    </row>
    <row r="204" spans="1:34" s="1562" customFormat="1" ht="0.75" hidden="1" customHeight="1">
      <c r="A204" s="1707"/>
      <c r="B204" s="1707"/>
      <c r="C204" s="306" t="s">
        <v>1231</v>
      </c>
      <c r="D204" s="2754"/>
      <c r="E204" s="2558"/>
      <c r="F204" s="2689"/>
      <c r="G204" s="337"/>
      <c r="H204" s="1427"/>
      <c r="I204" s="588"/>
      <c r="J204" s="508"/>
      <c r="K204" s="1427"/>
      <c r="L204" s="151"/>
      <c r="M204" s="278"/>
      <c r="N204" s="271"/>
      <c r="O204" s="1551"/>
      <c r="P204" s="1551"/>
      <c r="AH204" s="1558">
        <v>0</v>
      </c>
    </row>
    <row r="205" spans="1:34" s="1562" customFormat="1" ht="18.75" hidden="1" customHeight="1">
      <c r="A205" s="1707" t="s">
        <v>355</v>
      </c>
      <c r="B205" s="1707" t="s">
        <v>356</v>
      </c>
      <c r="C205" s="306"/>
      <c r="D205" s="2754"/>
      <c r="E205" s="2558"/>
      <c r="F205" s="2689" t="str">
        <f>INDEX(PT_DIFFERENTIATION_VTAR,MATCH(A205,PT_DIFFERENTIATION_VTAR_ID,0))</f>
        <v>Тариф на подключение (технологическое присоединение) к централизованной системе водоотведения</v>
      </c>
      <c r="G205" s="2729" t="str">
        <f>INDEX(PT_DIFFERENTIATION_NTAR,MATCH(B205,PT_DIFFERENTIATION_NTAR_ID,0))</f>
        <v/>
      </c>
      <c r="H205" s="1788"/>
      <c r="I205" s="1666"/>
      <c r="J205" s="1700"/>
      <c r="K205" s="1705"/>
      <c r="L205" s="1788" t="s">
        <v>386</v>
      </c>
      <c r="M205" s="278"/>
      <c r="N205" s="271"/>
      <c r="O205" s="1551"/>
      <c r="P205" s="1551"/>
      <c r="AH205" s="1558">
        <v>0</v>
      </c>
    </row>
    <row r="206" spans="1:34" s="1562" customFormat="1" ht="18.75" hidden="1" customHeight="1">
      <c r="A206" s="1707"/>
      <c r="B206" s="1707"/>
      <c r="C206" s="306" t="s">
        <v>1224</v>
      </c>
      <c r="D206" s="2754"/>
      <c r="E206" s="2558"/>
      <c r="F206" s="2689"/>
      <c r="G206" s="2729"/>
      <c r="H206" s="1427"/>
      <c r="I206" s="588" t="s">
        <v>1223</v>
      </c>
      <c r="J206" s="508"/>
      <c r="K206" s="1427"/>
      <c r="L206" s="151"/>
      <c r="M206" s="278"/>
      <c r="N206" s="271"/>
      <c r="O206" s="1551"/>
      <c r="P206" s="1551"/>
      <c r="AH206" s="1558">
        <v>0</v>
      </c>
    </row>
    <row r="207" spans="1:34" s="1562" customFormat="1" ht="1.1499999999999999" customHeight="1">
      <c r="A207" s="1707"/>
      <c r="B207" s="1707"/>
      <c r="C207" s="306" t="s">
        <v>1231</v>
      </c>
      <c r="D207" s="2754"/>
      <c r="E207" s="2558"/>
      <c r="F207" s="2689"/>
      <c r="G207" s="337"/>
      <c r="H207" s="1427"/>
      <c r="I207" s="588"/>
      <c r="J207" s="508"/>
      <c r="K207" s="1427"/>
      <c r="L207" s="151"/>
      <c r="M207" s="278"/>
      <c r="N207" s="271"/>
      <c r="O207" s="1551"/>
      <c r="P207" s="1551"/>
      <c r="AH207" s="1558">
        <v>1</v>
      </c>
    </row>
    <row r="208" spans="1:34" ht="27.4" customHeight="1">
      <c r="A208" s="1707"/>
      <c r="B208" s="1707"/>
      <c r="D208" s="313"/>
      <c r="E208" s="84" t="s">
        <v>127</v>
      </c>
      <c r="F208" s="275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753"/>
      <c r="H208" s="2753"/>
      <c r="I208" s="2753"/>
      <c r="J208" s="2753"/>
      <c r="K208" s="2753"/>
      <c r="L208" s="2753"/>
      <c r="M208" s="234"/>
      <c r="N208" s="271"/>
      <c r="AH208" s="311">
        <v>26</v>
      </c>
    </row>
    <row r="209" spans="1:34" s="1562" customFormat="1" ht="60.75" hidden="1" customHeight="1">
      <c r="A209" s="1707" t="s">
        <v>221</v>
      </c>
      <c r="B209" s="1707" t="s">
        <v>222</v>
      </c>
      <c r="C209" s="306"/>
      <c r="D209" s="2754"/>
      <c r="E209" s="2558"/>
      <c r="F209" s="26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29" t="str">
        <f>INDEX(PT_DIFFERENTIATION_NTAR,MATCH(B209,PT_DIFFERENTIATION_NTAR_ID,0))</f>
        <v/>
      </c>
      <c r="H209" s="1788"/>
      <c r="I209" s="1666"/>
      <c r="J209" s="1700"/>
      <c r="K209" s="1705"/>
      <c r="L209" s="1788" t="s">
        <v>386</v>
      </c>
      <c r="M209" s="25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1224</v>
      </c>
      <c r="D210" s="2754"/>
      <c r="E210" s="2558"/>
      <c r="F210" s="2689"/>
      <c r="G210" s="2729"/>
      <c r="H210" s="1427"/>
      <c r="I210" s="588" t="s">
        <v>1223</v>
      </c>
      <c r="J210" s="508"/>
      <c r="K210" s="1427"/>
      <c r="L210" s="151"/>
      <c r="M210" s="2506"/>
      <c r="N210" s="271"/>
      <c r="O210" s="1551"/>
      <c r="P210" s="1551"/>
      <c r="AH210" s="1558">
        <v>0</v>
      </c>
    </row>
    <row r="211" spans="1:34" s="1562" customFormat="1" ht="0.75" hidden="1" customHeight="1">
      <c r="A211" s="1707"/>
      <c r="B211" s="1707"/>
      <c r="C211" s="306" t="s">
        <v>1231</v>
      </c>
      <c r="D211" s="2754"/>
      <c r="E211" s="2558"/>
      <c r="F211" s="2689"/>
      <c r="G211" s="337"/>
      <c r="H211" s="1427"/>
      <c r="I211" s="588"/>
      <c r="J211" s="508"/>
      <c r="K211" s="1427"/>
      <c r="L211" s="151"/>
      <c r="M211" s="2506"/>
      <c r="N211" s="271"/>
      <c r="O211" s="1551"/>
      <c r="P211" s="1551"/>
      <c r="AH211" s="1558">
        <v>0</v>
      </c>
    </row>
    <row r="212" spans="1:34" s="1562" customFormat="1" ht="45" hidden="1" customHeight="1">
      <c r="A212" s="1707" t="s">
        <v>226</v>
      </c>
      <c r="B212" s="1707" t="s">
        <v>227</v>
      </c>
      <c r="C212" s="306"/>
      <c r="D212" s="2754"/>
      <c r="E212" s="2558"/>
      <c r="F212" s="2689" t="str">
        <f>INDEX(PT_DIFFERENTIATION_VTAR,MATCH(A212,PT_DIFFERENTIATION_VTAR_ID,0))</f>
        <v/>
      </c>
      <c r="G212" s="2729" t="str">
        <f>INDEX(PT_DIFFERENTIATION_NTAR,MATCH(B212,PT_DIFFERENTIATION_NTAR_ID,0))</f>
        <v/>
      </c>
      <c r="H212" s="1788"/>
      <c r="I212" s="1666"/>
      <c r="J212" s="1700"/>
      <c r="K212" s="1705"/>
      <c r="L212" s="1788" t="s">
        <v>386</v>
      </c>
      <c r="M212" s="2507"/>
      <c r="N212" s="271"/>
      <c r="O212" s="1551"/>
      <c r="P212" s="1551"/>
      <c r="AH212" s="1558">
        <v>0</v>
      </c>
    </row>
    <row r="213" spans="1:34" s="1562" customFormat="1" ht="18.75" hidden="1" customHeight="1">
      <c r="A213" s="1707"/>
      <c r="B213" s="1707"/>
      <c r="C213" s="306" t="s">
        <v>1224</v>
      </c>
      <c r="D213" s="2754"/>
      <c r="E213" s="2558"/>
      <c r="F213" s="2689"/>
      <c r="G213" s="2729"/>
      <c r="H213" s="1427"/>
      <c r="I213" s="588" t="s">
        <v>1223</v>
      </c>
      <c r="J213" s="508"/>
      <c r="K213" s="1427"/>
      <c r="L213" s="151"/>
      <c r="M213" s="1787"/>
      <c r="N213" s="271"/>
      <c r="O213" s="1551"/>
      <c r="P213" s="1551"/>
      <c r="AH213" s="1558">
        <v>0</v>
      </c>
    </row>
    <row r="214" spans="1:34" s="1562" customFormat="1" ht="0.75" hidden="1" customHeight="1">
      <c r="A214" s="1707"/>
      <c r="B214" s="1707"/>
      <c r="C214" s="306" t="s">
        <v>1231</v>
      </c>
      <c r="D214" s="2754"/>
      <c r="E214" s="2558"/>
      <c r="F214" s="2689"/>
      <c r="G214" s="337"/>
      <c r="H214" s="1427"/>
      <c r="I214" s="588"/>
      <c r="J214" s="508"/>
      <c r="K214" s="1427"/>
      <c r="L214" s="151"/>
      <c r="M214" s="278"/>
      <c r="N214" s="271"/>
      <c r="O214" s="1551"/>
      <c r="P214" s="1551"/>
      <c r="AH214" s="1558">
        <v>0</v>
      </c>
    </row>
    <row r="215" spans="1:34" s="1562" customFormat="1" ht="45" hidden="1" customHeight="1">
      <c r="A215" s="1707" t="s">
        <v>233</v>
      </c>
      <c r="B215" s="1707" t="s">
        <v>234</v>
      </c>
      <c r="C215" s="306"/>
      <c r="D215" s="2754"/>
      <c r="E215" s="2558"/>
      <c r="F215" s="26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29" t="str">
        <f>INDEX(PT_DIFFERENTIATION_NTAR,MATCH(B215,PT_DIFFERENTIATION_NTAR_ID,0))</f>
        <v/>
      </c>
      <c r="H215" s="1788"/>
      <c r="I215" s="1666"/>
      <c r="J215" s="1700"/>
      <c r="K215" s="1705"/>
      <c r="L215" s="1788" t="s">
        <v>386</v>
      </c>
      <c r="M215" s="278"/>
      <c r="N215" s="271"/>
      <c r="O215" s="1551"/>
      <c r="P215" s="1551"/>
      <c r="AH215" s="1558">
        <v>0</v>
      </c>
    </row>
    <row r="216" spans="1:34" s="1562" customFormat="1" ht="18.75" hidden="1" customHeight="1">
      <c r="A216" s="1707"/>
      <c r="B216" s="1707"/>
      <c r="C216" s="306" t="s">
        <v>1224</v>
      </c>
      <c r="D216" s="2754"/>
      <c r="E216" s="2558"/>
      <c r="F216" s="2689"/>
      <c r="G216" s="2729"/>
      <c r="H216" s="1427"/>
      <c r="I216" s="588" t="s">
        <v>1223</v>
      </c>
      <c r="J216" s="508"/>
      <c r="K216" s="1427"/>
      <c r="L216" s="151"/>
      <c r="M216" s="278"/>
      <c r="N216" s="271"/>
      <c r="O216" s="1551"/>
      <c r="P216" s="1551"/>
      <c r="AH216" s="1558">
        <v>0</v>
      </c>
    </row>
    <row r="217" spans="1:34" s="1562" customFormat="1" ht="0.75" hidden="1" customHeight="1">
      <c r="A217" s="1707"/>
      <c r="B217" s="1707"/>
      <c r="C217" s="306" t="s">
        <v>1231</v>
      </c>
      <c r="D217" s="2754"/>
      <c r="E217" s="2558"/>
      <c r="F217" s="2689"/>
      <c r="G217" s="337"/>
      <c r="H217" s="1427"/>
      <c r="I217" s="588"/>
      <c r="J217" s="508"/>
      <c r="K217" s="1427"/>
      <c r="L217" s="151"/>
      <c r="M217" s="278"/>
      <c r="N217" s="271"/>
      <c r="O217" s="1551"/>
      <c r="P217" s="1551"/>
      <c r="AH217" s="1558">
        <v>0</v>
      </c>
    </row>
    <row r="218" spans="1:34" s="1562" customFormat="1" ht="45" hidden="1" customHeight="1">
      <c r="A218" s="1707" t="s">
        <v>239</v>
      </c>
      <c r="B218" s="1707" t="s">
        <v>240</v>
      </c>
      <c r="C218" s="306"/>
      <c r="D218" s="2754"/>
      <c r="E218" s="2558"/>
      <c r="F218" s="26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29" t="str">
        <f>INDEX(PT_DIFFERENTIATION_NTAR,MATCH(B218,PT_DIFFERENTIATION_NTAR_ID,0))</f>
        <v/>
      </c>
      <c r="H218" s="1788"/>
      <c r="I218" s="1666"/>
      <c r="J218" s="1700"/>
      <c r="K218" s="1705"/>
      <c r="L218" s="1788" t="s">
        <v>386</v>
      </c>
      <c r="M218" s="278"/>
      <c r="N218" s="271"/>
      <c r="O218" s="1551"/>
      <c r="P218" s="1551"/>
      <c r="AH218" s="1558">
        <v>0</v>
      </c>
    </row>
    <row r="219" spans="1:34" s="1562" customFormat="1" ht="18.75" hidden="1" customHeight="1">
      <c r="A219" s="1707"/>
      <c r="B219" s="1707"/>
      <c r="C219" s="306" t="s">
        <v>1224</v>
      </c>
      <c r="D219" s="2754"/>
      <c r="E219" s="2558"/>
      <c r="F219" s="2689"/>
      <c r="G219" s="2729"/>
      <c r="H219" s="1427"/>
      <c r="I219" s="588" t="s">
        <v>1223</v>
      </c>
      <c r="J219" s="508"/>
      <c r="K219" s="1427"/>
      <c r="L219" s="151"/>
      <c r="M219" s="278"/>
      <c r="N219" s="271"/>
      <c r="O219" s="1551"/>
      <c r="P219" s="1551"/>
      <c r="AH219" s="1558">
        <v>0</v>
      </c>
    </row>
    <row r="220" spans="1:34" s="1562" customFormat="1" ht="0.75" hidden="1" customHeight="1">
      <c r="A220" s="1707"/>
      <c r="B220" s="1707"/>
      <c r="C220" s="306" t="s">
        <v>1231</v>
      </c>
      <c r="D220" s="2754"/>
      <c r="E220" s="2558"/>
      <c r="F220" s="2689"/>
      <c r="G220" s="337"/>
      <c r="H220" s="1427"/>
      <c r="I220" s="588"/>
      <c r="J220" s="508"/>
      <c r="K220" s="1427"/>
      <c r="L220" s="151"/>
      <c r="M220" s="278"/>
      <c r="N220" s="271"/>
      <c r="O220" s="1551"/>
      <c r="P220" s="1551"/>
      <c r="AH220" s="1558">
        <v>0</v>
      </c>
    </row>
    <row r="221" spans="1:34" s="1562" customFormat="1" ht="18.75" hidden="1" customHeight="1">
      <c r="A221" s="1707" t="s">
        <v>245</v>
      </c>
      <c r="B221" s="1707" t="s">
        <v>246</v>
      </c>
      <c r="C221" s="306"/>
      <c r="D221" s="2754"/>
      <c r="E221" s="2558"/>
      <c r="F221" s="2689" t="str">
        <f>INDEX(PT_DIFFERENTIATION_VTAR,MATCH(A221,PT_DIFFERENTIATION_VTAR_ID,0))</f>
        <v>Тарифы на услуги по передаче тепловой энергии</v>
      </c>
      <c r="G221" s="2729" t="str">
        <f>INDEX(PT_DIFFERENTIATION_NTAR,MATCH(B221,PT_DIFFERENTIATION_NTAR_ID,0))</f>
        <v/>
      </c>
      <c r="H221" s="1788"/>
      <c r="I221" s="1666"/>
      <c r="J221" s="1700"/>
      <c r="K221" s="1705"/>
      <c r="L221" s="1788" t="s">
        <v>386</v>
      </c>
      <c r="M221" s="278"/>
      <c r="N221" s="271"/>
      <c r="O221" s="1551"/>
      <c r="P221" s="1551"/>
      <c r="AH221" s="1558">
        <v>0</v>
      </c>
    </row>
    <row r="222" spans="1:34" s="1562" customFormat="1" ht="18.75" hidden="1" customHeight="1">
      <c r="A222" s="1707"/>
      <c r="B222" s="1707"/>
      <c r="C222" s="306" t="s">
        <v>1224</v>
      </c>
      <c r="D222" s="2754"/>
      <c r="E222" s="2558"/>
      <c r="F222" s="2689"/>
      <c r="G222" s="2729"/>
      <c r="H222" s="1427"/>
      <c r="I222" s="588" t="s">
        <v>1223</v>
      </c>
      <c r="J222" s="508"/>
      <c r="K222" s="1427"/>
      <c r="L222" s="151"/>
      <c r="M222" s="278"/>
      <c r="N222" s="271"/>
      <c r="O222" s="1551"/>
      <c r="P222" s="1551"/>
      <c r="AH222" s="1558">
        <v>0</v>
      </c>
    </row>
    <row r="223" spans="1:34" s="1562" customFormat="1" ht="0.75" hidden="1" customHeight="1">
      <c r="A223" s="1707"/>
      <c r="B223" s="1707"/>
      <c r="C223" s="306" t="s">
        <v>1231</v>
      </c>
      <c r="D223" s="2754"/>
      <c r="E223" s="2558"/>
      <c r="F223" s="2689"/>
      <c r="G223" s="337"/>
      <c r="H223" s="1427"/>
      <c r="I223" s="588"/>
      <c r="J223" s="508"/>
      <c r="K223" s="1427"/>
      <c r="L223" s="151"/>
      <c r="M223" s="278"/>
      <c r="N223" s="271"/>
      <c r="O223" s="1551"/>
      <c r="P223" s="1551"/>
      <c r="AH223" s="1558">
        <v>0</v>
      </c>
    </row>
    <row r="224" spans="1:34" s="1562" customFormat="1" ht="18.75" hidden="1" customHeight="1">
      <c r="A224" s="1707" t="s">
        <v>251</v>
      </c>
      <c r="B224" s="1707" t="s">
        <v>252</v>
      </c>
      <c r="C224" s="306"/>
      <c r="D224" s="2754"/>
      <c r="E224" s="2558"/>
      <c r="F224" s="2689" t="str">
        <f>INDEX(PT_DIFFERENTIATION_VTAR,MATCH(A224,PT_DIFFERENTIATION_VTAR_ID,0))</f>
        <v>Тарифы на услуги по передаче теплоносителя</v>
      </c>
      <c r="G224" s="2729" t="str">
        <f>INDEX(PT_DIFFERENTIATION_NTAR,MATCH(B224,PT_DIFFERENTIATION_NTAR_ID,0))</f>
        <v/>
      </c>
      <c r="H224" s="1788"/>
      <c r="I224" s="1666"/>
      <c r="J224" s="1700"/>
      <c r="K224" s="1705"/>
      <c r="L224" s="1788" t="s">
        <v>386</v>
      </c>
      <c r="M224" s="278"/>
      <c r="N224" s="271"/>
      <c r="O224" s="1551"/>
      <c r="P224" s="1551"/>
      <c r="AH224" s="1558">
        <v>0</v>
      </c>
    </row>
    <row r="225" spans="1:34" s="1562" customFormat="1" ht="18.75" hidden="1" customHeight="1">
      <c r="A225" s="1707"/>
      <c r="B225" s="1707"/>
      <c r="C225" s="306" t="s">
        <v>1224</v>
      </c>
      <c r="D225" s="2754"/>
      <c r="E225" s="2558"/>
      <c r="F225" s="2689"/>
      <c r="G225" s="2729"/>
      <c r="H225" s="1427"/>
      <c r="I225" s="588" t="s">
        <v>1223</v>
      </c>
      <c r="J225" s="508"/>
      <c r="K225" s="1427"/>
      <c r="L225" s="151"/>
      <c r="M225" s="278"/>
      <c r="N225" s="271"/>
      <c r="O225" s="1551"/>
      <c r="P225" s="1551"/>
      <c r="AH225" s="1558">
        <v>0</v>
      </c>
    </row>
    <row r="226" spans="1:34" s="1562" customFormat="1" ht="0.75" hidden="1" customHeight="1">
      <c r="A226" s="1707"/>
      <c r="B226" s="1707"/>
      <c r="C226" s="306" t="s">
        <v>1231</v>
      </c>
      <c r="D226" s="2754"/>
      <c r="E226" s="2558"/>
      <c r="F226" s="2689"/>
      <c r="G226" s="337"/>
      <c r="H226" s="1427"/>
      <c r="I226" s="588"/>
      <c r="J226" s="508"/>
      <c r="K226" s="1427"/>
      <c r="L226" s="151"/>
      <c r="M226" s="278"/>
      <c r="N226" s="271"/>
      <c r="O226" s="1551"/>
      <c r="P226" s="1551"/>
      <c r="AH226" s="1558">
        <v>0</v>
      </c>
    </row>
    <row r="227" spans="1:34" s="1562" customFormat="1" ht="18.75" hidden="1" customHeight="1">
      <c r="A227" s="1707" t="s">
        <v>257</v>
      </c>
      <c r="B227" s="1707" t="s">
        <v>258</v>
      </c>
      <c r="C227" s="306"/>
      <c r="D227" s="2754"/>
      <c r="E227" s="2558"/>
      <c r="F227" s="26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29" t="str">
        <f>INDEX(PT_DIFFERENTIATION_NTAR,MATCH(B227,PT_DIFFERENTIATION_NTAR_ID,0))</f>
        <v/>
      </c>
      <c r="H227" s="1788"/>
      <c r="I227" s="1666"/>
      <c r="J227" s="1700"/>
      <c r="K227" s="1705"/>
      <c r="L227" s="1788" t="s">
        <v>386</v>
      </c>
      <c r="M227" s="278"/>
      <c r="N227" s="271"/>
      <c r="O227" s="1551"/>
      <c r="P227" s="1551"/>
      <c r="AH227" s="1558">
        <v>0</v>
      </c>
    </row>
    <row r="228" spans="1:34" s="1562" customFormat="1" ht="18.75" hidden="1" customHeight="1">
      <c r="A228" s="1707"/>
      <c r="B228" s="1707"/>
      <c r="C228" s="306" t="s">
        <v>1224</v>
      </c>
      <c r="D228" s="2754"/>
      <c r="E228" s="2558"/>
      <c r="F228" s="2689"/>
      <c r="G228" s="2729"/>
      <c r="H228" s="1427"/>
      <c r="I228" s="588" t="s">
        <v>1223</v>
      </c>
      <c r="J228" s="508"/>
      <c r="K228" s="1427"/>
      <c r="L228" s="151"/>
      <c r="M228" s="278"/>
      <c r="N228" s="271"/>
      <c r="O228" s="1551"/>
      <c r="P228" s="1551"/>
      <c r="AH228" s="1558">
        <v>0</v>
      </c>
    </row>
    <row r="229" spans="1:34" s="1562" customFormat="1" ht="0.75" hidden="1" customHeight="1">
      <c r="A229" s="1707"/>
      <c r="B229" s="1707"/>
      <c r="C229" s="306" t="s">
        <v>1231</v>
      </c>
      <c r="D229" s="2754"/>
      <c r="E229" s="2558"/>
      <c r="F229" s="2689"/>
      <c r="G229" s="337"/>
      <c r="H229" s="1427"/>
      <c r="I229" s="588"/>
      <c r="J229" s="508"/>
      <c r="K229" s="1427"/>
      <c r="L229" s="151"/>
      <c r="M229" s="278"/>
      <c r="N229" s="271"/>
      <c r="O229" s="1551"/>
      <c r="P229" s="1551"/>
      <c r="AH229" s="1558">
        <v>0</v>
      </c>
    </row>
    <row r="230" spans="1:34" s="1562" customFormat="1" ht="18.75" hidden="1" customHeight="1">
      <c r="A230" s="1707" t="s">
        <v>263</v>
      </c>
      <c r="B230" s="1707" t="s">
        <v>264</v>
      </c>
      <c r="C230" s="306"/>
      <c r="D230" s="2754"/>
      <c r="E230" s="2558"/>
      <c r="F230" s="2689" t="str">
        <f>INDEX(PT_DIFFERENTIATION_VTAR,MATCH(A230,PT_DIFFERENTIATION_VTAR_ID,0))</f>
        <v>Плата за подключение (технологическое присоединение) к системе теплоснабжения</v>
      </c>
      <c r="G230" s="2729" t="str">
        <f>INDEX(PT_DIFFERENTIATION_NTAR,MATCH(B230,PT_DIFFERENTIATION_NTAR_ID,0))</f>
        <v/>
      </c>
      <c r="H230" s="1788"/>
      <c r="I230" s="1666"/>
      <c r="J230" s="1700"/>
      <c r="K230" s="1705"/>
      <c r="L230" s="1788" t="s">
        <v>386</v>
      </c>
      <c r="M230" s="278"/>
      <c r="N230" s="271"/>
      <c r="O230" s="1551"/>
      <c r="P230" s="1551"/>
      <c r="AH230" s="1558">
        <v>0</v>
      </c>
    </row>
    <row r="231" spans="1:34" s="1562" customFormat="1" ht="18.75" hidden="1" customHeight="1">
      <c r="A231" s="1707"/>
      <c r="B231" s="1707"/>
      <c r="C231" s="306" t="s">
        <v>1224</v>
      </c>
      <c r="D231" s="2754"/>
      <c r="E231" s="2558"/>
      <c r="F231" s="2689"/>
      <c r="G231" s="2729"/>
      <c r="H231" s="1427"/>
      <c r="I231" s="588" t="s">
        <v>1223</v>
      </c>
      <c r="J231" s="508"/>
      <c r="K231" s="1427"/>
      <c r="L231" s="151"/>
      <c r="M231" s="278"/>
      <c r="N231" s="271"/>
      <c r="O231" s="1551"/>
      <c r="P231" s="1551"/>
      <c r="AH231" s="1558">
        <v>0</v>
      </c>
    </row>
    <row r="232" spans="1:34" s="1562" customFormat="1" ht="0.75" hidden="1" customHeight="1">
      <c r="A232" s="1707"/>
      <c r="B232" s="1707"/>
      <c r="C232" s="306" t="s">
        <v>1231</v>
      </c>
      <c r="D232" s="2754"/>
      <c r="E232" s="2558"/>
      <c r="F232" s="2689"/>
      <c r="G232" s="337"/>
      <c r="H232" s="1427"/>
      <c r="I232" s="588"/>
      <c r="J232" s="508"/>
      <c r="K232" s="1427"/>
      <c r="L232" s="151"/>
      <c r="M232" s="278"/>
      <c r="N232" s="271"/>
      <c r="O232" s="1551"/>
      <c r="P232" s="1551"/>
      <c r="AH232" s="1558">
        <v>0</v>
      </c>
    </row>
    <row r="233" spans="1:34" s="1562" customFormat="1" ht="18.75" hidden="1" customHeight="1">
      <c r="A233" s="1707" t="s">
        <v>269</v>
      </c>
      <c r="B233" s="1707" t="s">
        <v>270</v>
      </c>
      <c r="C233" s="306"/>
      <c r="D233" s="2754"/>
      <c r="E233" s="2558"/>
      <c r="F233" s="2689" t="str">
        <f>INDEX(PT_DIFFERENTIATION_VTAR,MATCH(A233,PT_DIFFERENTIATION_VTAR_ID,0))</f>
        <v>Плата за подключение (технологическое присоединение) к системе теплоснабжения (индивидуальная)</v>
      </c>
      <c r="G233" s="2729" t="str">
        <f>INDEX(PT_DIFFERENTIATION_NTAR,MATCH(B233,PT_DIFFERENTIATION_NTAR_ID,0))</f>
        <v/>
      </c>
      <c r="H233" s="1912"/>
      <c r="I233" s="1666"/>
      <c r="J233" s="1700"/>
      <c r="K233" s="1705"/>
      <c r="L233" s="1912" t="s">
        <v>386</v>
      </c>
      <c r="M233" s="278"/>
      <c r="N233" s="271"/>
      <c r="O233" s="1551"/>
      <c r="P233" s="1551"/>
      <c r="AH233" s="1558">
        <v>0</v>
      </c>
    </row>
    <row r="234" spans="1:34" s="1562" customFormat="1" ht="18.75" hidden="1" customHeight="1">
      <c r="A234" s="1707"/>
      <c r="B234" s="1707"/>
      <c r="C234" s="306" t="s">
        <v>1224</v>
      </c>
      <c r="D234" s="2754"/>
      <c r="E234" s="2558"/>
      <c r="F234" s="2689"/>
      <c r="G234" s="2729"/>
      <c r="H234" s="1427"/>
      <c r="I234" s="588" t="s">
        <v>1223</v>
      </c>
      <c r="J234" s="508"/>
      <c r="K234" s="1427"/>
      <c r="L234" s="151"/>
      <c r="M234" s="278"/>
      <c r="N234" s="271"/>
      <c r="O234" s="1551"/>
      <c r="P234" s="1551"/>
      <c r="AH234" s="1558">
        <v>0</v>
      </c>
    </row>
    <row r="235" spans="1:34" s="1562" customFormat="1" ht="0.75" hidden="1" customHeight="1">
      <c r="A235" s="1707"/>
      <c r="B235" s="1707"/>
      <c r="C235" s="306" t="s">
        <v>1231</v>
      </c>
      <c r="D235" s="2754"/>
      <c r="E235" s="2558"/>
      <c r="F235" s="2689"/>
      <c r="G235" s="337"/>
      <c r="H235" s="1427"/>
      <c r="I235" s="588"/>
      <c r="J235" s="508"/>
      <c r="K235" s="1427"/>
      <c r="L235" s="151"/>
      <c r="M235" s="278"/>
      <c r="N235" s="271"/>
      <c r="O235" s="1551"/>
      <c r="P235" s="1551"/>
      <c r="AH235" s="1558">
        <v>0</v>
      </c>
    </row>
    <row r="236" spans="1:34" s="1562" customFormat="1" ht="18.75" hidden="1" customHeight="1">
      <c r="A236" s="1707" t="s">
        <v>291</v>
      </c>
      <c r="B236" s="1707" t="s">
        <v>292</v>
      </c>
      <c r="C236" s="306"/>
      <c r="D236" s="2754"/>
      <c r="E236" s="2558"/>
      <c r="F236" s="2689" t="str">
        <f>INDEX(PT_DIFFERENTIATION_VTAR,MATCH(A236,PT_DIFFERENTIATION_VTAR_ID,0))</f>
        <v>Тариф на питьевую воду (питьевое водоснабжение)</v>
      </c>
      <c r="G236" s="2729" t="str">
        <f>INDEX(PT_DIFFERENTIATION_NTAR,MATCH(B236,PT_DIFFERENTIATION_NTAR_ID,0))</f>
        <v>Тариф на холодное водоснабжение (питьевая)</v>
      </c>
      <c r="H236" s="1788"/>
      <c r="I236" s="1666"/>
      <c r="J236" s="1700"/>
      <c r="K236" s="1705"/>
      <c r="L236" s="1788" t="s">
        <v>386</v>
      </c>
      <c r="M236" s="278"/>
      <c r="N236" s="271"/>
      <c r="O236" s="1551"/>
      <c r="P236" s="1551"/>
      <c r="AH236" s="1558">
        <v>0</v>
      </c>
    </row>
    <row r="237" spans="1:34" s="1562" customFormat="1" ht="18.75" hidden="1" customHeight="1">
      <c r="A237" s="1707"/>
      <c r="B237" s="1707"/>
      <c r="C237" s="306" t="s">
        <v>1224</v>
      </c>
      <c r="D237" s="2754"/>
      <c r="E237" s="2558"/>
      <c r="F237" s="2689"/>
      <c r="G237" s="2729"/>
      <c r="H237" s="1427"/>
      <c r="I237" s="588" t="s">
        <v>1223</v>
      </c>
      <c r="J237" s="508"/>
      <c r="K237" s="1427"/>
      <c r="L237" s="151"/>
      <c r="M237" s="278"/>
      <c r="N237" s="271"/>
      <c r="O237" s="1551"/>
      <c r="P237" s="1551"/>
      <c r="AH237" s="1558">
        <v>0</v>
      </c>
    </row>
    <row r="238" spans="1:34" s="1562" customFormat="1" ht="0.75" hidden="1" customHeight="1">
      <c r="A238" s="1707"/>
      <c r="B238" s="1707"/>
      <c r="C238" s="306" t="s">
        <v>1231</v>
      </c>
      <c r="D238" s="2754"/>
      <c r="E238" s="2558"/>
      <c r="F238" s="2689"/>
      <c r="G238" s="337"/>
      <c r="H238" s="1427"/>
      <c r="I238" s="588"/>
      <c r="J238" s="508"/>
      <c r="K238" s="1427"/>
      <c r="L238" s="151"/>
      <c r="M238" s="278"/>
      <c r="N238" s="271"/>
      <c r="O238" s="1551"/>
      <c r="P238" s="1551"/>
      <c r="AH238" s="1558">
        <v>0</v>
      </c>
    </row>
    <row r="239" spans="1:34" s="1562" customFormat="1" ht="18.75" hidden="1" customHeight="1">
      <c r="A239" s="1707" t="s">
        <v>304</v>
      </c>
      <c r="B239" s="1707" t="s">
        <v>305</v>
      </c>
      <c r="C239" s="306"/>
      <c r="D239" s="2754"/>
      <c r="E239" s="2558"/>
      <c r="F239" s="2689" t="str">
        <f>INDEX(PT_DIFFERENTIATION_VTAR,MATCH(A239,PT_DIFFERENTIATION_VTAR_ID,0))</f>
        <v>Тариф на техническую воду</v>
      </c>
      <c r="G239" s="2729" t="str">
        <f>INDEX(PT_DIFFERENTIATION_NTAR,MATCH(B239,PT_DIFFERENTIATION_NTAR_ID,0))</f>
        <v>Тариф на холодное водоснабжение (техническая)</v>
      </c>
      <c r="H239" s="1788"/>
      <c r="I239" s="1666"/>
      <c r="J239" s="1700"/>
      <c r="K239" s="1705"/>
      <c r="L239" s="1788" t="s">
        <v>386</v>
      </c>
      <c r="M239" s="278"/>
      <c r="N239" s="271"/>
      <c r="O239" s="1551"/>
      <c r="P239" s="1551"/>
      <c r="AH239" s="1558">
        <v>0</v>
      </c>
    </row>
    <row r="240" spans="1:34" s="1562" customFormat="1" ht="18.75" hidden="1" customHeight="1">
      <c r="A240" s="1707"/>
      <c r="B240" s="1707"/>
      <c r="C240" s="306" t="s">
        <v>1224</v>
      </c>
      <c r="D240" s="2754"/>
      <c r="E240" s="2558"/>
      <c r="F240" s="2689"/>
      <c r="G240" s="2729"/>
      <c r="H240" s="1427"/>
      <c r="I240" s="588" t="s">
        <v>1223</v>
      </c>
      <c r="J240" s="508"/>
      <c r="K240" s="1427"/>
      <c r="L240" s="151"/>
      <c r="M240" s="278"/>
      <c r="N240" s="271"/>
      <c r="O240" s="1551"/>
      <c r="P240" s="1551"/>
      <c r="AH240" s="1558">
        <v>0</v>
      </c>
    </row>
    <row r="241" spans="1:34" s="1562" customFormat="1" ht="0.75" hidden="1" customHeight="1">
      <c r="A241" s="1707"/>
      <c r="B241" s="1707"/>
      <c r="C241" s="306" t="s">
        <v>1231</v>
      </c>
      <c r="D241" s="2754"/>
      <c r="E241" s="2558"/>
      <c r="F241" s="2689"/>
      <c r="G241" s="337"/>
      <c r="H241" s="1427"/>
      <c r="I241" s="588"/>
      <c r="J241" s="508"/>
      <c r="K241" s="1427"/>
      <c r="L241" s="151"/>
      <c r="M241" s="278"/>
      <c r="N241" s="271"/>
      <c r="O241" s="1551"/>
      <c r="P241" s="1551"/>
      <c r="AH241" s="1558">
        <v>0</v>
      </c>
    </row>
    <row r="242" spans="1:34" s="1562" customFormat="1" ht="18.75" hidden="1" customHeight="1">
      <c r="A242" s="1707" t="s">
        <v>315</v>
      </c>
      <c r="B242" s="1707" t="s">
        <v>316</v>
      </c>
      <c r="C242" s="306"/>
      <c r="D242" s="2754"/>
      <c r="E242" s="2558"/>
      <c r="F242" s="2689" t="str">
        <f>INDEX(PT_DIFFERENTIATION_VTAR,MATCH(A242,PT_DIFFERENTIATION_VTAR_ID,0))</f>
        <v>Тариф на транспортировку воды</v>
      </c>
      <c r="G242" s="2729" t="str">
        <f>INDEX(PT_DIFFERENTIATION_NTAR,MATCH(B242,PT_DIFFERENTIATION_NTAR_ID,0))</f>
        <v/>
      </c>
      <c r="H242" s="1788"/>
      <c r="I242" s="1666"/>
      <c r="J242" s="1700"/>
      <c r="K242" s="1705"/>
      <c r="L242" s="1788" t="s">
        <v>386</v>
      </c>
      <c r="M242" s="278"/>
      <c r="N242" s="271"/>
      <c r="O242" s="1551"/>
      <c r="P242" s="1551"/>
      <c r="AH242" s="1558">
        <v>0</v>
      </c>
    </row>
    <row r="243" spans="1:34" s="1562" customFormat="1" ht="18.75" hidden="1" customHeight="1">
      <c r="A243" s="1707"/>
      <c r="B243" s="1707"/>
      <c r="C243" s="306" t="s">
        <v>1224</v>
      </c>
      <c r="D243" s="2754"/>
      <c r="E243" s="2558"/>
      <c r="F243" s="2689"/>
      <c r="G243" s="2729"/>
      <c r="H243" s="1427"/>
      <c r="I243" s="588" t="s">
        <v>1223</v>
      </c>
      <c r="J243" s="508"/>
      <c r="K243" s="1427"/>
      <c r="L243" s="151"/>
      <c r="M243" s="278"/>
      <c r="N243" s="271"/>
      <c r="O243" s="1551"/>
      <c r="P243" s="1551"/>
      <c r="AH243" s="1558">
        <v>0</v>
      </c>
    </row>
    <row r="244" spans="1:34" s="1562" customFormat="1" ht="0.75" hidden="1" customHeight="1">
      <c r="A244" s="1707"/>
      <c r="B244" s="1707"/>
      <c r="C244" s="306" t="s">
        <v>1231</v>
      </c>
      <c r="D244" s="2754"/>
      <c r="E244" s="2558"/>
      <c r="F244" s="2689"/>
      <c r="G244" s="337"/>
      <c r="H244" s="1427"/>
      <c r="I244" s="588"/>
      <c r="J244" s="508"/>
      <c r="K244" s="1427"/>
      <c r="L244" s="151"/>
      <c r="M244" s="278"/>
      <c r="N244" s="271"/>
      <c r="O244" s="1551"/>
      <c r="P244" s="1551"/>
      <c r="AH244" s="1558">
        <v>0</v>
      </c>
    </row>
    <row r="245" spans="1:34" s="1562" customFormat="1" ht="18.75" hidden="1" customHeight="1">
      <c r="A245" s="1707" t="s">
        <v>320</v>
      </c>
      <c r="B245" s="1707" t="s">
        <v>321</v>
      </c>
      <c r="C245" s="306"/>
      <c r="D245" s="2754"/>
      <c r="E245" s="2558"/>
      <c r="F245" s="2689" t="str">
        <f>INDEX(PT_DIFFERENTIATION_VTAR,MATCH(A245,PT_DIFFERENTIATION_VTAR_ID,0))</f>
        <v>Тариф на подвоз воды</v>
      </c>
      <c r="G245" s="2729" t="str">
        <f>INDEX(PT_DIFFERENTIATION_NTAR,MATCH(B245,PT_DIFFERENTIATION_NTAR_ID,0))</f>
        <v/>
      </c>
      <c r="H245" s="1788"/>
      <c r="I245" s="1666"/>
      <c r="J245" s="1700"/>
      <c r="K245" s="1705"/>
      <c r="L245" s="1788" t="s">
        <v>386</v>
      </c>
      <c r="M245" s="278"/>
      <c r="N245" s="271"/>
      <c r="O245" s="1551"/>
      <c r="P245" s="1551"/>
      <c r="AH245" s="1558">
        <v>0</v>
      </c>
    </row>
    <row r="246" spans="1:34" s="1562" customFormat="1" ht="18.75" hidden="1" customHeight="1">
      <c r="A246" s="1707"/>
      <c r="B246" s="1707"/>
      <c r="C246" s="306" t="s">
        <v>1224</v>
      </c>
      <c r="D246" s="2754"/>
      <c r="E246" s="2558"/>
      <c r="F246" s="2689"/>
      <c r="G246" s="2729"/>
      <c r="H246" s="1427"/>
      <c r="I246" s="588" t="s">
        <v>1223</v>
      </c>
      <c r="J246" s="508"/>
      <c r="K246" s="1427"/>
      <c r="L246" s="151"/>
      <c r="M246" s="278"/>
      <c r="N246" s="271"/>
      <c r="O246" s="1551"/>
      <c r="P246" s="1551"/>
      <c r="AH246" s="1558">
        <v>0</v>
      </c>
    </row>
    <row r="247" spans="1:34" s="1562" customFormat="1" ht="0.75" hidden="1" customHeight="1">
      <c r="A247" s="1707"/>
      <c r="B247" s="1707"/>
      <c r="C247" s="306" t="s">
        <v>1231</v>
      </c>
      <c r="D247" s="2754"/>
      <c r="E247" s="2558"/>
      <c r="F247" s="2689"/>
      <c r="G247" s="337"/>
      <c r="H247" s="1427"/>
      <c r="I247" s="588"/>
      <c r="J247" s="508"/>
      <c r="K247" s="1427"/>
      <c r="L247" s="151"/>
      <c r="M247" s="278"/>
      <c r="N247" s="271"/>
      <c r="O247" s="1551"/>
      <c r="P247" s="1551"/>
      <c r="AH247" s="1558">
        <v>0</v>
      </c>
    </row>
    <row r="248" spans="1:34" s="1562" customFormat="1" ht="18.75" hidden="1" customHeight="1">
      <c r="A248" s="1707" t="s">
        <v>325</v>
      </c>
      <c r="B248" s="1707" t="s">
        <v>326</v>
      </c>
      <c r="C248" s="306"/>
      <c r="D248" s="2754"/>
      <c r="E248" s="2558"/>
      <c r="F248" s="26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29" t="str">
        <f>INDEX(PT_DIFFERENTIATION_NTAR,MATCH(B248,PT_DIFFERENTIATION_NTAR_ID,0))</f>
        <v/>
      </c>
      <c r="H248" s="1788"/>
      <c r="I248" s="1666"/>
      <c r="J248" s="1700"/>
      <c r="K248" s="1705"/>
      <c r="L248" s="1788" t="s">
        <v>386</v>
      </c>
      <c r="M248" s="278"/>
      <c r="N248" s="271"/>
      <c r="O248" s="1551"/>
      <c r="P248" s="1551"/>
      <c r="AH248" s="1558">
        <v>0</v>
      </c>
    </row>
    <row r="249" spans="1:34" s="1562" customFormat="1" ht="18.75" hidden="1" customHeight="1">
      <c r="A249" s="1707"/>
      <c r="B249" s="1707"/>
      <c r="C249" s="306" t="s">
        <v>1224</v>
      </c>
      <c r="D249" s="2754"/>
      <c r="E249" s="2558"/>
      <c r="F249" s="2689"/>
      <c r="G249" s="2729"/>
      <c r="H249" s="1427"/>
      <c r="I249" s="588" t="s">
        <v>1223</v>
      </c>
      <c r="J249" s="508"/>
      <c r="K249" s="1427"/>
      <c r="L249" s="151"/>
      <c r="M249" s="278"/>
      <c r="N249" s="271"/>
      <c r="O249" s="1551"/>
      <c r="P249" s="1551"/>
      <c r="AH249" s="1558">
        <v>0</v>
      </c>
    </row>
    <row r="250" spans="1:34" s="1562" customFormat="1" ht="0.75" hidden="1" customHeight="1">
      <c r="A250" s="1707"/>
      <c r="B250" s="1707"/>
      <c r="C250" s="306" t="s">
        <v>1231</v>
      </c>
      <c r="D250" s="2754"/>
      <c r="E250" s="2558"/>
      <c r="F250" s="2689"/>
      <c r="G250" s="337"/>
      <c r="H250" s="1427"/>
      <c r="I250" s="588"/>
      <c r="J250" s="508"/>
      <c r="K250" s="1427"/>
      <c r="L250" s="151"/>
      <c r="M250" s="278"/>
      <c r="N250" s="271"/>
      <c r="O250" s="1551"/>
      <c r="P250" s="1551"/>
      <c r="AH250" s="1558">
        <v>0</v>
      </c>
    </row>
    <row r="251" spans="1:34" s="1562" customFormat="1" ht="18.75" hidden="1" customHeight="1">
      <c r="A251" s="1707" t="s">
        <v>330</v>
      </c>
      <c r="B251" s="1707" t="s">
        <v>331</v>
      </c>
      <c r="C251" s="306"/>
      <c r="D251" s="2754"/>
      <c r="E251" s="2558"/>
      <c r="F251" s="2689" t="str">
        <f>INDEX(PT_DIFFERENTIATION_VTAR,MATCH(A251,PT_DIFFERENTIATION_VTAR_ID,0))</f>
        <v>Тариф на горячую воду (горячее водоснабжение)</v>
      </c>
      <c r="G251" s="2729" t="str">
        <f>INDEX(PT_DIFFERENTIATION_NTAR,MATCH(B251,PT_DIFFERENTIATION_NTAR_ID,0))</f>
        <v/>
      </c>
      <c r="H251" s="1788"/>
      <c r="I251" s="1666"/>
      <c r="J251" s="1700"/>
      <c r="K251" s="1705"/>
      <c r="L251" s="1788" t="s">
        <v>386</v>
      </c>
      <c r="M251" s="278"/>
      <c r="N251" s="271"/>
      <c r="O251" s="1551"/>
      <c r="P251" s="1551"/>
      <c r="AH251" s="1558">
        <v>0</v>
      </c>
    </row>
    <row r="252" spans="1:34" s="1562" customFormat="1" ht="18.75" hidden="1" customHeight="1">
      <c r="A252" s="1707"/>
      <c r="B252" s="1707"/>
      <c r="C252" s="306" t="s">
        <v>1224</v>
      </c>
      <c r="D252" s="2754"/>
      <c r="E252" s="2558"/>
      <c r="F252" s="2689"/>
      <c r="G252" s="2729"/>
      <c r="H252" s="1427"/>
      <c r="I252" s="588" t="s">
        <v>1223</v>
      </c>
      <c r="J252" s="508"/>
      <c r="K252" s="1427"/>
      <c r="L252" s="151"/>
      <c r="M252" s="278"/>
      <c r="N252" s="271"/>
      <c r="O252" s="1551"/>
      <c r="P252" s="1551"/>
      <c r="AH252" s="1558">
        <v>0</v>
      </c>
    </row>
    <row r="253" spans="1:34" s="1562" customFormat="1" ht="0.75" hidden="1" customHeight="1">
      <c r="A253" s="1707"/>
      <c r="B253" s="1707"/>
      <c r="C253" s="306" t="s">
        <v>1231</v>
      </c>
      <c r="D253" s="2754"/>
      <c r="E253" s="2558"/>
      <c r="F253" s="2689"/>
      <c r="G253" s="337"/>
      <c r="H253" s="1427"/>
      <c r="I253" s="588"/>
      <c r="J253" s="508"/>
      <c r="K253" s="1427"/>
      <c r="L253" s="151"/>
      <c r="M253" s="278"/>
      <c r="N253" s="271"/>
      <c r="O253" s="1551"/>
      <c r="P253" s="1551"/>
      <c r="AH253" s="1558">
        <v>0</v>
      </c>
    </row>
    <row r="254" spans="1:34" s="1562" customFormat="1" ht="18.75" hidden="1" customHeight="1">
      <c r="A254" s="1707" t="s">
        <v>335</v>
      </c>
      <c r="B254" s="1707" t="s">
        <v>336</v>
      </c>
      <c r="C254" s="306"/>
      <c r="D254" s="2754"/>
      <c r="E254" s="2558"/>
      <c r="F254" s="2689" t="str">
        <f>INDEX(PT_DIFFERENTIATION_VTAR,MATCH(A254,PT_DIFFERENTIATION_VTAR_ID,0))</f>
        <v>Тариф на транспортировку горячей воды</v>
      </c>
      <c r="G254" s="2729" t="str">
        <f>INDEX(PT_DIFFERENTIATION_NTAR,MATCH(B254,PT_DIFFERENTIATION_NTAR_ID,0))</f>
        <v/>
      </c>
      <c r="H254" s="1788"/>
      <c r="I254" s="1666"/>
      <c r="J254" s="1700"/>
      <c r="K254" s="1705"/>
      <c r="L254" s="1788" t="s">
        <v>386</v>
      </c>
      <c r="M254" s="278"/>
      <c r="N254" s="271"/>
      <c r="O254" s="1551"/>
      <c r="P254" s="1551"/>
      <c r="AH254" s="1558">
        <v>0</v>
      </c>
    </row>
    <row r="255" spans="1:34" s="1562" customFormat="1" ht="18.75" hidden="1" customHeight="1">
      <c r="A255" s="1707"/>
      <c r="B255" s="1707"/>
      <c r="C255" s="306" t="s">
        <v>1224</v>
      </c>
      <c r="D255" s="2754"/>
      <c r="E255" s="2558"/>
      <c r="F255" s="2689"/>
      <c r="G255" s="2729"/>
      <c r="H255" s="1427"/>
      <c r="I255" s="588" t="s">
        <v>1223</v>
      </c>
      <c r="J255" s="508"/>
      <c r="K255" s="1427"/>
      <c r="L255" s="151"/>
      <c r="M255" s="278"/>
      <c r="N255" s="271"/>
      <c r="O255" s="1551"/>
      <c r="P255" s="1551"/>
      <c r="AH255" s="1558">
        <v>0</v>
      </c>
    </row>
    <row r="256" spans="1:34" s="1562" customFormat="1" ht="0.75" hidden="1" customHeight="1">
      <c r="A256" s="1707"/>
      <c r="B256" s="1707"/>
      <c r="C256" s="306" t="s">
        <v>1231</v>
      </c>
      <c r="D256" s="2754"/>
      <c r="E256" s="2558"/>
      <c r="F256" s="2689"/>
      <c r="G256" s="337"/>
      <c r="H256" s="1427"/>
      <c r="I256" s="588"/>
      <c r="J256" s="508"/>
      <c r="K256" s="1427"/>
      <c r="L256" s="151"/>
      <c r="M256" s="278"/>
      <c r="N256" s="271"/>
      <c r="O256" s="1551"/>
      <c r="P256" s="1551"/>
      <c r="AH256" s="1558">
        <v>0</v>
      </c>
    </row>
    <row r="257" spans="1:34" s="1562" customFormat="1" ht="18.75" hidden="1" customHeight="1">
      <c r="A257" s="1707" t="s">
        <v>340</v>
      </c>
      <c r="B257" s="1707" t="s">
        <v>341</v>
      </c>
      <c r="C257" s="306"/>
      <c r="D257" s="2754"/>
      <c r="E257" s="2558"/>
      <c r="F257" s="26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29" t="str">
        <f>INDEX(PT_DIFFERENTIATION_NTAR,MATCH(B257,PT_DIFFERENTIATION_NTAR_ID,0))</f>
        <v/>
      </c>
      <c r="H257" s="1788"/>
      <c r="I257" s="1666"/>
      <c r="J257" s="1700"/>
      <c r="K257" s="1705"/>
      <c r="L257" s="1788" t="s">
        <v>386</v>
      </c>
      <c r="M257" s="278"/>
      <c r="N257" s="271"/>
      <c r="O257" s="1551"/>
      <c r="P257" s="1551"/>
      <c r="AH257" s="1558">
        <v>0</v>
      </c>
    </row>
    <row r="258" spans="1:34" s="1562" customFormat="1" ht="18.75" hidden="1" customHeight="1">
      <c r="A258" s="1707"/>
      <c r="B258" s="1707"/>
      <c r="C258" s="306" t="s">
        <v>1224</v>
      </c>
      <c r="D258" s="2754"/>
      <c r="E258" s="2558"/>
      <c r="F258" s="2689"/>
      <c r="G258" s="2729"/>
      <c r="H258" s="1427"/>
      <c r="I258" s="588" t="s">
        <v>1223</v>
      </c>
      <c r="J258" s="508"/>
      <c r="K258" s="1427"/>
      <c r="L258" s="151"/>
      <c r="M258" s="278"/>
      <c r="N258" s="271"/>
      <c r="O258" s="1551"/>
      <c r="P258" s="1551"/>
      <c r="AH258" s="1558">
        <v>0</v>
      </c>
    </row>
    <row r="259" spans="1:34" s="1562" customFormat="1" ht="0.75" hidden="1" customHeight="1">
      <c r="A259" s="1707"/>
      <c r="B259" s="1707"/>
      <c r="C259" s="306" t="s">
        <v>1231</v>
      </c>
      <c r="D259" s="2754"/>
      <c r="E259" s="2558"/>
      <c r="F259" s="2689"/>
      <c r="G259" s="337"/>
      <c r="H259" s="1427"/>
      <c r="I259" s="588"/>
      <c r="J259" s="508"/>
      <c r="K259" s="1427"/>
      <c r="L259" s="151"/>
      <c r="M259" s="278"/>
      <c r="N259" s="271"/>
      <c r="O259" s="1551"/>
      <c r="P259" s="1551"/>
      <c r="AH259" s="1558">
        <v>0</v>
      </c>
    </row>
    <row r="260" spans="1:34" s="1562" customFormat="1" ht="18.75" hidden="1" customHeight="1">
      <c r="A260" s="1707" t="s">
        <v>345</v>
      </c>
      <c r="B260" s="1707" t="s">
        <v>346</v>
      </c>
      <c r="C260" s="306"/>
      <c r="D260" s="2754"/>
      <c r="E260" s="2558"/>
      <c r="F260" s="2689" t="str">
        <f>INDEX(PT_DIFFERENTIATION_VTAR,MATCH(A260,PT_DIFFERENTIATION_VTAR_ID,0))</f>
        <v>Тариф на водоотведение</v>
      </c>
      <c r="G260" s="2729" t="str">
        <f>INDEX(PT_DIFFERENTIATION_NTAR,MATCH(B260,PT_DIFFERENTIATION_NTAR_ID,0))</f>
        <v/>
      </c>
      <c r="H260" s="1788"/>
      <c r="I260" s="1666"/>
      <c r="J260" s="1700"/>
      <c r="K260" s="1705"/>
      <c r="L260" s="1788" t="s">
        <v>386</v>
      </c>
      <c r="M260" s="278"/>
      <c r="N260" s="271"/>
      <c r="O260" s="1551"/>
      <c r="P260" s="1551"/>
      <c r="AH260" s="1558">
        <v>0</v>
      </c>
    </row>
    <row r="261" spans="1:34" s="1562" customFormat="1" ht="18.75" hidden="1" customHeight="1">
      <c r="A261" s="1707"/>
      <c r="B261" s="1707"/>
      <c r="C261" s="306" t="s">
        <v>1224</v>
      </c>
      <c r="D261" s="2754"/>
      <c r="E261" s="2558"/>
      <c r="F261" s="2689"/>
      <c r="G261" s="2729"/>
      <c r="H261" s="1427"/>
      <c r="I261" s="588" t="s">
        <v>1223</v>
      </c>
      <c r="J261" s="508"/>
      <c r="K261" s="1427"/>
      <c r="L261" s="151"/>
      <c r="M261" s="278"/>
      <c r="N261" s="271"/>
      <c r="O261" s="1551"/>
      <c r="P261" s="1551"/>
      <c r="AH261" s="1558">
        <v>0</v>
      </c>
    </row>
    <row r="262" spans="1:34" s="1562" customFormat="1" ht="0.75" hidden="1" customHeight="1">
      <c r="A262" s="1707"/>
      <c r="B262" s="1707"/>
      <c r="C262" s="306" t="s">
        <v>1231</v>
      </c>
      <c r="D262" s="2754"/>
      <c r="E262" s="2558"/>
      <c r="F262" s="2689"/>
      <c r="G262" s="337"/>
      <c r="H262" s="1427"/>
      <c r="I262" s="588"/>
      <c r="J262" s="508"/>
      <c r="K262" s="1427"/>
      <c r="L262" s="151"/>
      <c r="M262" s="278"/>
      <c r="N262" s="271"/>
      <c r="O262" s="1551"/>
      <c r="P262" s="1551"/>
      <c r="AH262" s="1558">
        <v>0</v>
      </c>
    </row>
    <row r="263" spans="1:34" s="1562" customFormat="1" ht="18.75" hidden="1" customHeight="1">
      <c r="A263" s="1707" t="s">
        <v>350</v>
      </c>
      <c r="B263" s="1707" t="s">
        <v>351</v>
      </c>
      <c r="C263" s="306"/>
      <c r="D263" s="2754"/>
      <c r="E263" s="2558"/>
      <c r="F263" s="2689" t="str">
        <f>INDEX(PT_DIFFERENTIATION_VTAR,MATCH(A263,PT_DIFFERENTIATION_VTAR_ID,0))</f>
        <v>Тариф на транспортировку сточных вод</v>
      </c>
      <c r="G263" s="2729" t="str">
        <f>INDEX(PT_DIFFERENTIATION_NTAR,MATCH(B263,PT_DIFFERENTIATION_NTAR_ID,0))</f>
        <v/>
      </c>
      <c r="H263" s="1788"/>
      <c r="I263" s="1666"/>
      <c r="J263" s="1700"/>
      <c r="K263" s="1705"/>
      <c r="L263" s="1788" t="s">
        <v>386</v>
      </c>
      <c r="M263" s="278"/>
      <c r="N263" s="271"/>
      <c r="O263" s="1551"/>
      <c r="P263" s="1551"/>
      <c r="AH263" s="1558">
        <v>0</v>
      </c>
    </row>
    <row r="264" spans="1:34" s="1562" customFormat="1" ht="18.75" hidden="1" customHeight="1">
      <c r="A264" s="1707"/>
      <c r="B264" s="1707"/>
      <c r="C264" s="306" t="s">
        <v>1224</v>
      </c>
      <c r="D264" s="2754"/>
      <c r="E264" s="2558"/>
      <c r="F264" s="2689"/>
      <c r="G264" s="2729"/>
      <c r="H264" s="1427"/>
      <c r="I264" s="588" t="s">
        <v>1223</v>
      </c>
      <c r="J264" s="508"/>
      <c r="K264" s="1427"/>
      <c r="L264" s="151"/>
      <c r="M264" s="278"/>
      <c r="N264" s="271"/>
      <c r="O264" s="1551"/>
      <c r="P264" s="1551"/>
      <c r="AH264" s="1558">
        <v>0</v>
      </c>
    </row>
    <row r="265" spans="1:34" s="1562" customFormat="1" ht="0.75" hidden="1" customHeight="1">
      <c r="A265" s="1707"/>
      <c r="B265" s="1707"/>
      <c r="C265" s="306" t="s">
        <v>1231</v>
      </c>
      <c r="D265" s="2754"/>
      <c r="E265" s="2558"/>
      <c r="F265" s="2689"/>
      <c r="G265" s="337"/>
      <c r="H265" s="1427"/>
      <c r="I265" s="588"/>
      <c r="J265" s="508"/>
      <c r="K265" s="1427"/>
      <c r="L265" s="151"/>
      <c r="M265" s="278"/>
      <c r="N265" s="271"/>
      <c r="O265" s="1551"/>
      <c r="P265" s="1551"/>
      <c r="AH265" s="1558">
        <v>0</v>
      </c>
    </row>
    <row r="266" spans="1:34" s="1562" customFormat="1" ht="18.75" hidden="1" customHeight="1">
      <c r="A266" s="1707" t="s">
        <v>355</v>
      </c>
      <c r="B266" s="1707" t="s">
        <v>356</v>
      </c>
      <c r="C266" s="306"/>
      <c r="D266" s="2754"/>
      <c r="E266" s="2558"/>
      <c r="F266" s="2689" t="str">
        <f>INDEX(PT_DIFFERENTIATION_VTAR,MATCH(A266,PT_DIFFERENTIATION_VTAR_ID,0))</f>
        <v>Тариф на подключение (технологическое присоединение) к централизованной системе водоотведения</v>
      </c>
      <c r="G266" s="2729" t="str">
        <f>INDEX(PT_DIFFERENTIATION_NTAR,MATCH(B266,PT_DIFFERENTIATION_NTAR_ID,0))</f>
        <v/>
      </c>
      <c r="H266" s="1788"/>
      <c r="I266" s="1666"/>
      <c r="J266" s="1700"/>
      <c r="K266" s="1705"/>
      <c r="L266" s="1788" t="s">
        <v>386</v>
      </c>
      <c r="M266" s="278"/>
      <c r="N266" s="271"/>
      <c r="O266" s="1551"/>
      <c r="P266" s="1551"/>
      <c r="AH266" s="1558">
        <v>0</v>
      </c>
    </row>
    <row r="267" spans="1:34" s="1562" customFormat="1" ht="18.75" hidden="1" customHeight="1">
      <c r="A267" s="1707"/>
      <c r="B267" s="1707"/>
      <c r="C267" s="306" t="s">
        <v>1224</v>
      </c>
      <c r="D267" s="2754"/>
      <c r="E267" s="2558"/>
      <c r="F267" s="2689"/>
      <c r="G267" s="2729"/>
      <c r="H267" s="1427"/>
      <c r="I267" s="588" t="s">
        <v>1223</v>
      </c>
      <c r="J267" s="508"/>
      <c r="K267" s="1427"/>
      <c r="L267" s="151"/>
      <c r="M267" s="278"/>
      <c r="N267" s="271"/>
      <c r="O267" s="1551"/>
      <c r="P267" s="1551"/>
      <c r="AH267" s="1558">
        <v>0</v>
      </c>
    </row>
    <row r="268" spans="1:34" s="1562" customFormat="1" ht="1.1499999999999999" customHeight="1">
      <c r="A268" s="1707"/>
      <c r="B268" s="1707"/>
      <c r="C268" s="306" t="s">
        <v>1231</v>
      </c>
      <c r="D268" s="2754"/>
      <c r="E268" s="2558"/>
      <c r="F268" s="2689"/>
      <c r="G268" s="337"/>
      <c r="H268" s="1427"/>
      <c r="I268" s="588"/>
      <c r="J268" s="508"/>
      <c r="K268" s="1427"/>
      <c r="L268" s="151"/>
      <c r="M268" s="278"/>
      <c r="N268" s="271"/>
      <c r="O268" s="1551"/>
      <c r="P268" s="1551"/>
      <c r="AH268" s="1558">
        <v>1</v>
      </c>
    </row>
    <row r="269" spans="1:34" ht="27.4" customHeight="1">
      <c r="A269" s="1707"/>
      <c r="B269" s="1707"/>
      <c r="D269" s="313"/>
      <c r="E269" s="84" t="s">
        <v>92</v>
      </c>
      <c r="F269" s="275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753"/>
      <c r="H269" s="2753"/>
      <c r="I269" s="2753"/>
      <c r="J269" s="2753"/>
      <c r="K269" s="2753"/>
      <c r="L269" s="2753"/>
      <c r="M269" s="234"/>
      <c r="N269" s="271"/>
      <c r="AH269" s="311">
        <v>26</v>
      </c>
    </row>
    <row r="270" spans="1:34" s="1562" customFormat="1" ht="60.75" hidden="1" customHeight="1">
      <c r="A270" s="1707" t="s">
        <v>221</v>
      </c>
      <c r="B270" s="1707" t="s">
        <v>222</v>
      </c>
      <c r="C270" s="306"/>
      <c r="D270" s="2754"/>
      <c r="E270" s="2558"/>
      <c r="F270" s="26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29" t="str">
        <f>INDEX(PT_DIFFERENTIATION_NTAR,MATCH(B270,PT_DIFFERENTIATION_NTAR_ID,0))</f>
        <v/>
      </c>
      <c r="H270" s="1788"/>
      <c r="I270" s="1666"/>
      <c r="J270" s="1700"/>
      <c r="K270" s="1705"/>
      <c r="L270" s="1788" t="s">
        <v>386</v>
      </c>
      <c r="M270" s="25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1224</v>
      </c>
      <c r="D271" s="2754"/>
      <c r="E271" s="2558"/>
      <c r="F271" s="2689"/>
      <c r="G271" s="2729"/>
      <c r="H271" s="1427"/>
      <c r="I271" s="588" t="s">
        <v>1223</v>
      </c>
      <c r="J271" s="508"/>
      <c r="K271" s="1427"/>
      <c r="L271" s="151"/>
      <c r="M271" s="2506"/>
      <c r="N271" s="271"/>
      <c r="O271" s="1551"/>
      <c r="P271" s="1551"/>
      <c r="AH271" s="1558">
        <v>0</v>
      </c>
    </row>
    <row r="272" spans="1:34" s="1562" customFormat="1" ht="0.75" hidden="1" customHeight="1">
      <c r="A272" s="1707"/>
      <c r="B272" s="1707"/>
      <c r="C272" s="306" t="s">
        <v>1231</v>
      </c>
      <c r="D272" s="2754"/>
      <c r="E272" s="2558"/>
      <c r="F272" s="2689"/>
      <c r="G272" s="337"/>
      <c r="H272" s="1427"/>
      <c r="I272" s="588"/>
      <c r="J272" s="508"/>
      <c r="K272" s="1427"/>
      <c r="L272" s="151"/>
      <c r="M272" s="2506"/>
      <c r="N272" s="271"/>
      <c r="O272" s="1551"/>
      <c r="P272" s="1551"/>
      <c r="AH272" s="1558">
        <v>0</v>
      </c>
    </row>
    <row r="273" spans="1:34" s="1562" customFormat="1" ht="45" hidden="1" customHeight="1">
      <c r="A273" s="1707" t="s">
        <v>226</v>
      </c>
      <c r="B273" s="1707" t="s">
        <v>227</v>
      </c>
      <c r="C273" s="306"/>
      <c r="D273" s="2754"/>
      <c r="E273" s="2558"/>
      <c r="F273" s="2689" t="str">
        <f>INDEX(PT_DIFFERENTIATION_VTAR,MATCH(A273,PT_DIFFERENTIATION_VTAR_ID,0))</f>
        <v/>
      </c>
      <c r="G273" s="2729" t="str">
        <f>INDEX(PT_DIFFERENTIATION_NTAR,MATCH(B273,PT_DIFFERENTIATION_NTAR_ID,0))</f>
        <v/>
      </c>
      <c r="H273" s="1788"/>
      <c r="I273" s="1666"/>
      <c r="J273" s="1700"/>
      <c r="K273" s="1705"/>
      <c r="L273" s="1788" t="s">
        <v>386</v>
      </c>
      <c r="M273" s="2507"/>
      <c r="N273" s="271"/>
      <c r="O273" s="1551"/>
      <c r="P273" s="1551"/>
      <c r="AH273" s="1558">
        <v>0</v>
      </c>
    </row>
    <row r="274" spans="1:34" s="1562" customFormat="1" ht="18.75" hidden="1" customHeight="1">
      <c r="A274" s="1707"/>
      <c r="B274" s="1707"/>
      <c r="C274" s="306" t="s">
        <v>1224</v>
      </c>
      <c r="D274" s="2754"/>
      <c r="E274" s="2558"/>
      <c r="F274" s="2689"/>
      <c r="G274" s="2729"/>
      <c r="H274" s="1427"/>
      <c r="I274" s="588" t="s">
        <v>1223</v>
      </c>
      <c r="J274" s="508"/>
      <c r="K274" s="1427"/>
      <c r="L274" s="151"/>
      <c r="M274" s="1787"/>
      <c r="N274" s="271"/>
      <c r="O274" s="1551"/>
      <c r="P274" s="1551"/>
      <c r="AH274" s="1558">
        <v>0</v>
      </c>
    </row>
    <row r="275" spans="1:34" s="1562" customFormat="1" ht="0.75" hidden="1" customHeight="1">
      <c r="A275" s="1707"/>
      <c r="B275" s="1707"/>
      <c r="C275" s="306" t="s">
        <v>1231</v>
      </c>
      <c r="D275" s="2754"/>
      <c r="E275" s="2558"/>
      <c r="F275" s="2689"/>
      <c r="G275" s="337"/>
      <c r="H275" s="1427"/>
      <c r="I275" s="588"/>
      <c r="J275" s="508"/>
      <c r="K275" s="1427"/>
      <c r="L275" s="151"/>
      <c r="M275" s="278"/>
      <c r="N275" s="271"/>
      <c r="O275" s="1551"/>
      <c r="P275" s="1551"/>
      <c r="AH275" s="1558">
        <v>0</v>
      </c>
    </row>
    <row r="276" spans="1:34" s="1562" customFormat="1" ht="45" hidden="1" customHeight="1">
      <c r="A276" s="1707" t="s">
        <v>233</v>
      </c>
      <c r="B276" s="1707" t="s">
        <v>234</v>
      </c>
      <c r="C276" s="306"/>
      <c r="D276" s="2754"/>
      <c r="E276" s="2558"/>
      <c r="F276" s="26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29" t="str">
        <f>INDEX(PT_DIFFERENTIATION_NTAR,MATCH(B276,PT_DIFFERENTIATION_NTAR_ID,0))</f>
        <v/>
      </c>
      <c r="H276" s="1788"/>
      <c r="I276" s="1666"/>
      <c r="J276" s="1700"/>
      <c r="K276" s="1705"/>
      <c r="L276" s="1788" t="s">
        <v>386</v>
      </c>
      <c r="M276" s="278"/>
      <c r="N276" s="271"/>
      <c r="O276" s="1551"/>
      <c r="P276" s="1551"/>
      <c r="AH276" s="1558">
        <v>0</v>
      </c>
    </row>
    <row r="277" spans="1:34" s="1562" customFormat="1" ht="18.75" hidden="1" customHeight="1">
      <c r="A277" s="1707"/>
      <c r="B277" s="1707"/>
      <c r="C277" s="306" t="s">
        <v>1224</v>
      </c>
      <c r="D277" s="2754"/>
      <c r="E277" s="2558"/>
      <c r="F277" s="2689"/>
      <c r="G277" s="2729"/>
      <c r="H277" s="1427"/>
      <c r="I277" s="588" t="s">
        <v>1223</v>
      </c>
      <c r="J277" s="508"/>
      <c r="K277" s="1427"/>
      <c r="L277" s="151"/>
      <c r="M277" s="278"/>
      <c r="N277" s="271"/>
      <c r="O277" s="1551"/>
      <c r="P277" s="1551"/>
      <c r="AH277" s="1558">
        <v>0</v>
      </c>
    </row>
    <row r="278" spans="1:34" s="1562" customFormat="1" ht="0.75" hidden="1" customHeight="1">
      <c r="A278" s="1707"/>
      <c r="B278" s="1707"/>
      <c r="C278" s="306" t="s">
        <v>1231</v>
      </c>
      <c r="D278" s="2754"/>
      <c r="E278" s="2558"/>
      <c r="F278" s="2689"/>
      <c r="G278" s="337"/>
      <c r="H278" s="1427"/>
      <c r="I278" s="588"/>
      <c r="J278" s="508"/>
      <c r="K278" s="1427"/>
      <c r="L278" s="151"/>
      <c r="M278" s="278"/>
      <c r="N278" s="271"/>
      <c r="O278" s="1551"/>
      <c r="P278" s="1551"/>
      <c r="AH278" s="1558">
        <v>0</v>
      </c>
    </row>
    <row r="279" spans="1:34" s="1562" customFormat="1" ht="45" hidden="1" customHeight="1">
      <c r="A279" s="1707" t="s">
        <v>239</v>
      </c>
      <c r="B279" s="1707" t="s">
        <v>240</v>
      </c>
      <c r="C279" s="306"/>
      <c r="D279" s="2754"/>
      <c r="E279" s="2558"/>
      <c r="F279" s="26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29" t="str">
        <f>INDEX(PT_DIFFERENTIATION_NTAR,MATCH(B279,PT_DIFFERENTIATION_NTAR_ID,0))</f>
        <v/>
      </c>
      <c r="H279" s="1788"/>
      <c r="I279" s="1666"/>
      <c r="J279" s="1700"/>
      <c r="K279" s="1705"/>
      <c r="L279" s="1788" t="s">
        <v>386</v>
      </c>
      <c r="M279" s="278"/>
      <c r="N279" s="271"/>
      <c r="O279" s="1551"/>
      <c r="P279" s="1551"/>
      <c r="AH279" s="1558">
        <v>0</v>
      </c>
    </row>
    <row r="280" spans="1:34" s="1562" customFormat="1" ht="18.75" hidden="1" customHeight="1">
      <c r="A280" s="1707"/>
      <c r="B280" s="1707"/>
      <c r="C280" s="306" t="s">
        <v>1224</v>
      </c>
      <c r="D280" s="2754"/>
      <c r="E280" s="2558"/>
      <c r="F280" s="2689"/>
      <c r="G280" s="2729"/>
      <c r="H280" s="1427"/>
      <c r="I280" s="588" t="s">
        <v>1223</v>
      </c>
      <c r="J280" s="508"/>
      <c r="K280" s="1427"/>
      <c r="L280" s="151"/>
      <c r="M280" s="278"/>
      <c r="N280" s="271"/>
      <c r="O280" s="1551"/>
      <c r="P280" s="1551"/>
      <c r="AH280" s="1558">
        <v>0</v>
      </c>
    </row>
    <row r="281" spans="1:34" s="1562" customFormat="1" ht="0.75" hidden="1" customHeight="1">
      <c r="A281" s="1707"/>
      <c r="B281" s="1707"/>
      <c r="C281" s="306" t="s">
        <v>1231</v>
      </c>
      <c r="D281" s="2754"/>
      <c r="E281" s="2558"/>
      <c r="F281" s="2689"/>
      <c r="G281" s="337"/>
      <c r="H281" s="1427"/>
      <c r="I281" s="588"/>
      <c r="J281" s="508"/>
      <c r="K281" s="1427"/>
      <c r="L281" s="151"/>
      <c r="M281" s="278"/>
      <c r="N281" s="271"/>
      <c r="O281" s="1551"/>
      <c r="P281" s="1551"/>
      <c r="AH281" s="1558">
        <v>0</v>
      </c>
    </row>
    <row r="282" spans="1:34" s="1562" customFormat="1" ht="18.75" hidden="1" customHeight="1">
      <c r="A282" s="1707" t="s">
        <v>245</v>
      </c>
      <c r="B282" s="1707" t="s">
        <v>246</v>
      </c>
      <c r="C282" s="306"/>
      <c r="D282" s="2754"/>
      <c r="E282" s="2558"/>
      <c r="F282" s="2689" t="str">
        <f>INDEX(PT_DIFFERENTIATION_VTAR,MATCH(A282,PT_DIFFERENTIATION_VTAR_ID,0))</f>
        <v>Тарифы на услуги по передаче тепловой энергии</v>
      </c>
      <c r="G282" s="2729" t="str">
        <f>INDEX(PT_DIFFERENTIATION_NTAR,MATCH(B282,PT_DIFFERENTIATION_NTAR_ID,0))</f>
        <v/>
      </c>
      <c r="H282" s="1788"/>
      <c r="I282" s="1666"/>
      <c r="J282" s="1700"/>
      <c r="K282" s="1705"/>
      <c r="L282" s="1788" t="s">
        <v>386</v>
      </c>
      <c r="M282" s="278"/>
      <c r="N282" s="271"/>
      <c r="O282" s="1551"/>
      <c r="P282" s="1551"/>
      <c r="AH282" s="1558">
        <v>0</v>
      </c>
    </row>
    <row r="283" spans="1:34" s="1562" customFormat="1" ht="18.75" hidden="1" customHeight="1">
      <c r="A283" s="1707"/>
      <c r="B283" s="1707"/>
      <c r="C283" s="306" t="s">
        <v>1224</v>
      </c>
      <c r="D283" s="2754"/>
      <c r="E283" s="2558"/>
      <c r="F283" s="2689"/>
      <c r="G283" s="2729"/>
      <c r="H283" s="1427"/>
      <c r="I283" s="588" t="s">
        <v>1223</v>
      </c>
      <c r="J283" s="508"/>
      <c r="K283" s="1427"/>
      <c r="L283" s="151"/>
      <c r="M283" s="278"/>
      <c r="N283" s="271"/>
      <c r="O283" s="1551"/>
      <c r="P283" s="1551"/>
      <c r="AH283" s="1558">
        <v>0</v>
      </c>
    </row>
    <row r="284" spans="1:34" s="1562" customFormat="1" ht="0.75" hidden="1" customHeight="1">
      <c r="A284" s="1707"/>
      <c r="B284" s="1707"/>
      <c r="C284" s="306" t="s">
        <v>1231</v>
      </c>
      <c r="D284" s="2754"/>
      <c r="E284" s="2558"/>
      <c r="F284" s="2689"/>
      <c r="G284" s="337"/>
      <c r="H284" s="1427"/>
      <c r="I284" s="588"/>
      <c r="J284" s="508"/>
      <c r="K284" s="1427"/>
      <c r="L284" s="151"/>
      <c r="M284" s="278"/>
      <c r="N284" s="271"/>
      <c r="O284" s="1551"/>
      <c r="P284" s="1551"/>
      <c r="AH284" s="1558">
        <v>0</v>
      </c>
    </row>
    <row r="285" spans="1:34" s="1562" customFormat="1" ht="18.75" hidden="1" customHeight="1">
      <c r="A285" s="1707" t="s">
        <v>251</v>
      </c>
      <c r="B285" s="1707" t="s">
        <v>252</v>
      </c>
      <c r="C285" s="306"/>
      <c r="D285" s="2754"/>
      <c r="E285" s="2558"/>
      <c r="F285" s="2689" t="str">
        <f>INDEX(PT_DIFFERENTIATION_VTAR,MATCH(A285,PT_DIFFERENTIATION_VTAR_ID,0))</f>
        <v>Тарифы на услуги по передаче теплоносителя</v>
      </c>
      <c r="G285" s="2729" t="str">
        <f>INDEX(PT_DIFFERENTIATION_NTAR,MATCH(B285,PT_DIFFERENTIATION_NTAR_ID,0))</f>
        <v/>
      </c>
      <c r="H285" s="1788"/>
      <c r="I285" s="1666"/>
      <c r="J285" s="1700"/>
      <c r="K285" s="1705"/>
      <c r="L285" s="1788" t="s">
        <v>386</v>
      </c>
      <c r="M285" s="278"/>
      <c r="N285" s="271"/>
      <c r="O285" s="1551"/>
      <c r="P285" s="1551"/>
      <c r="AH285" s="1558">
        <v>0</v>
      </c>
    </row>
    <row r="286" spans="1:34" s="1562" customFormat="1" ht="18.75" hidden="1" customHeight="1">
      <c r="A286" s="1707"/>
      <c r="B286" s="1707"/>
      <c r="C286" s="306" t="s">
        <v>1224</v>
      </c>
      <c r="D286" s="2754"/>
      <c r="E286" s="2558"/>
      <c r="F286" s="2689"/>
      <c r="G286" s="2729"/>
      <c r="H286" s="1427"/>
      <c r="I286" s="588" t="s">
        <v>1223</v>
      </c>
      <c r="J286" s="508"/>
      <c r="K286" s="1427"/>
      <c r="L286" s="151"/>
      <c r="M286" s="278"/>
      <c r="N286" s="271"/>
      <c r="O286" s="1551"/>
      <c r="P286" s="1551"/>
      <c r="AH286" s="1558">
        <v>0</v>
      </c>
    </row>
    <row r="287" spans="1:34" s="1562" customFormat="1" ht="0.75" hidden="1" customHeight="1">
      <c r="A287" s="1707"/>
      <c r="B287" s="1707"/>
      <c r="C287" s="306" t="s">
        <v>1231</v>
      </c>
      <c r="D287" s="2754"/>
      <c r="E287" s="2558"/>
      <c r="F287" s="2689"/>
      <c r="G287" s="337"/>
      <c r="H287" s="1427"/>
      <c r="I287" s="588"/>
      <c r="J287" s="508"/>
      <c r="K287" s="1427"/>
      <c r="L287" s="151"/>
      <c r="M287" s="278"/>
      <c r="N287" s="271"/>
      <c r="O287" s="1551"/>
      <c r="P287" s="1551"/>
      <c r="AH287" s="1558">
        <v>0</v>
      </c>
    </row>
    <row r="288" spans="1:34" s="1562" customFormat="1" ht="18.75" hidden="1" customHeight="1">
      <c r="A288" s="1707" t="s">
        <v>257</v>
      </c>
      <c r="B288" s="1707" t="s">
        <v>258</v>
      </c>
      <c r="C288" s="306"/>
      <c r="D288" s="2754"/>
      <c r="E288" s="2558"/>
      <c r="F288" s="26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29" t="str">
        <f>INDEX(PT_DIFFERENTIATION_NTAR,MATCH(B288,PT_DIFFERENTIATION_NTAR_ID,0))</f>
        <v/>
      </c>
      <c r="H288" s="1788"/>
      <c r="I288" s="1666"/>
      <c r="J288" s="1700"/>
      <c r="K288" s="1705"/>
      <c r="L288" s="1788" t="s">
        <v>386</v>
      </c>
      <c r="M288" s="278"/>
      <c r="N288" s="271"/>
      <c r="O288" s="1551"/>
      <c r="P288" s="1551"/>
      <c r="AH288" s="1558">
        <v>0</v>
      </c>
    </row>
    <row r="289" spans="1:34" s="1562" customFormat="1" ht="18.75" hidden="1" customHeight="1">
      <c r="A289" s="1707"/>
      <c r="B289" s="1707"/>
      <c r="C289" s="306" t="s">
        <v>1224</v>
      </c>
      <c r="D289" s="2754"/>
      <c r="E289" s="2558"/>
      <c r="F289" s="2689"/>
      <c r="G289" s="2729"/>
      <c r="H289" s="1427"/>
      <c r="I289" s="588" t="s">
        <v>1223</v>
      </c>
      <c r="J289" s="508"/>
      <c r="K289" s="1427"/>
      <c r="L289" s="151"/>
      <c r="M289" s="278"/>
      <c r="N289" s="271"/>
      <c r="O289" s="1551"/>
      <c r="P289" s="1551"/>
      <c r="AH289" s="1558">
        <v>0</v>
      </c>
    </row>
    <row r="290" spans="1:34" s="1562" customFormat="1" ht="0.75" hidden="1" customHeight="1">
      <c r="A290" s="1707"/>
      <c r="B290" s="1707"/>
      <c r="C290" s="306" t="s">
        <v>1231</v>
      </c>
      <c r="D290" s="2754"/>
      <c r="E290" s="2558"/>
      <c r="F290" s="2689"/>
      <c r="G290" s="337"/>
      <c r="H290" s="1427"/>
      <c r="I290" s="588"/>
      <c r="J290" s="508"/>
      <c r="K290" s="1427"/>
      <c r="L290" s="151"/>
      <c r="M290" s="278"/>
      <c r="N290" s="271"/>
      <c r="O290" s="1551"/>
      <c r="P290" s="1551"/>
      <c r="AH290" s="1558">
        <v>0</v>
      </c>
    </row>
    <row r="291" spans="1:34" s="1562" customFormat="1" ht="18.75" hidden="1" customHeight="1">
      <c r="A291" s="1707" t="s">
        <v>263</v>
      </c>
      <c r="B291" s="1707" t="s">
        <v>264</v>
      </c>
      <c r="C291" s="306"/>
      <c r="D291" s="2754"/>
      <c r="E291" s="2558"/>
      <c r="F291" s="2689" t="str">
        <f>INDEX(PT_DIFFERENTIATION_VTAR,MATCH(A291,PT_DIFFERENTIATION_VTAR_ID,0))</f>
        <v>Плата за подключение (технологическое присоединение) к системе теплоснабжения</v>
      </c>
      <c r="G291" s="2729" t="str">
        <f>INDEX(PT_DIFFERENTIATION_NTAR,MATCH(B291,PT_DIFFERENTIATION_NTAR_ID,0))</f>
        <v/>
      </c>
      <c r="H291" s="1788"/>
      <c r="I291" s="1666"/>
      <c r="J291" s="1700"/>
      <c r="K291" s="1705"/>
      <c r="L291" s="1788" t="s">
        <v>386</v>
      </c>
      <c r="M291" s="278"/>
      <c r="N291" s="271"/>
      <c r="O291" s="1551"/>
      <c r="P291" s="1551"/>
      <c r="AH291" s="1558">
        <v>0</v>
      </c>
    </row>
    <row r="292" spans="1:34" s="1562" customFormat="1" ht="18.75" hidden="1" customHeight="1">
      <c r="A292" s="1707"/>
      <c r="B292" s="1707"/>
      <c r="C292" s="306" t="s">
        <v>1224</v>
      </c>
      <c r="D292" s="2754"/>
      <c r="E292" s="2558"/>
      <c r="F292" s="2689"/>
      <c r="G292" s="2729"/>
      <c r="H292" s="1427"/>
      <c r="I292" s="588" t="s">
        <v>1223</v>
      </c>
      <c r="J292" s="508"/>
      <c r="K292" s="1427"/>
      <c r="L292" s="151"/>
      <c r="M292" s="278"/>
      <c r="N292" s="271"/>
      <c r="O292" s="1551"/>
      <c r="P292" s="1551"/>
      <c r="AH292" s="1558">
        <v>0</v>
      </c>
    </row>
    <row r="293" spans="1:34" s="1562" customFormat="1" ht="0.75" hidden="1" customHeight="1">
      <c r="A293" s="1707"/>
      <c r="B293" s="1707"/>
      <c r="C293" s="306" t="s">
        <v>1231</v>
      </c>
      <c r="D293" s="2754"/>
      <c r="E293" s="2558"/>
      <c r="F293" s="2689"/>
      <c r="G293" s="337"/>
      <c r="H293" s="1427"/>
      <c r="I293" s="588"/>
      <c r="J293" s="508"/>
      <c r="K293" s="1427"/>
      <c r="L293" s="151"/>
      <c r="M293" s="278"/>
      <c r="N293" s="271"/>
      <c r="O293" s="1551"/>
      <c r="P293" s="1551"/>
      <c r="AH293" s="1558">
        <v>0</v>
      </c>
    </row>
    <row r="294" spans="1:34" s="1562" customFormat="1" ht="18.75" hidden="1" customHeight="1">
      <c r="A294" s="1707" t="s">
        <v>269</v>
      </c>
      <c r="B294" s="1707" t="s">
        <v>270</v>
      </c>
      <c r="C294" s="306"/>
      <c r="D294" s="2754"/>
      <c r="E294" s="2558"/>
      <c r="F294" s="2689" t="str">
        <f>INDEX(PT_DIFFERENTIATION_VTAR,MATCH(A294,PT_DIFFERENTIATION_VTAR_ID,0))</f>
        <v>Плата за подключение (технологическое присоединение) к системе теплоснабжения (индивидуальная)</v>
      </c>
      <c r="G294" s="2729" t="str">
        <f>INDEX(PT_DIFFERENTIATION_NTAR,MATCH(B294,PT_DIFFERENTIATION_NTAR_ID,0))</f>
        <v/>
      </c>
      <c r="H294" s="1912"/>
      <c r="I294" s="1666"/>
      <c r="J294" s="1700"/>
      <c r="K294" s="1705"/>
      <c r="L294" s="1912" t="s">
        <v>386</v>
      </c>
      <c r="M294" s="278"/>
      <c r="N294" s="271"/>
      <c r="O294" s="1551"/>
      <c r="P294" s="1551"/>
      <c r="AH294" s="1558">
        <v>0</v>
      </c>
    </row>
    <row r="295" spans="1:34" s="1562" customFormat="1" ht="18.75" hidden="1" customHeight="1">
      <c r="A295" s="1707"/>
      <c r="B295" s="1707"/>
      <c r="C295" s="306" t="s">
        <v>1224</v>
      </c>
      <c r="D295" s="2754"/>
      <c r="E295" s="2558"/>
      <c r="F295" s="2689"/>
      <c r="G295" s="2729"/>
      <c r="H295" s="1427"/>
      <c r="I295" s="588" t="s">
        <v>1223</v>
      </c>
      <c r="J295" s="508"/>
      <c r="K295" s="1427"/>
      <c r="L295" s="151"/>
      <c r="M295" s="278"/>
      <c r="N295" s="271"/>
      <c r="O295" s="1551"/>
      <c r="P295" s="1551"/>
      <c r="AH295" s="1558">
        <v>0</v>
      </c>
    </row>
    <row r="296" spans="1:34" s="1562" customFormat="1" ht="0.75" hidden="1" customHeight="1">
      <c r="A296" s="1707"/>
      <c r="B296" s="1707"/>
      <c r="C296" s="306" t="s">
        <v>1231</v>
      </c>
      <c r="D296" s="2754"/>
      <c r="E296" s="2558"/>
      <c r="F296" s="2689"/>
      <c r="G296" s="337"/>
      <c r="H296" s="1427"/>
      <c r="I296" s="588"/>
      <c r="J296" s="508"/>
      <c r="K296" s="1427"/>
      <c r="L296" s="151"/>
      <c r="M296" s="278"/>
      <c r="N296" s="271"/>
      <c r="O296" s="1551"/>
      <c r="P296" s="1551"/>
      <c r="AH296" s="1558">
        <v>0</v>
      </c>
    </row>
    <row r="297" spans="1:34" s="1562" customFormat="1" ht="18.75" hidden="1" customHeight="1">
      <c r="A297" s="1707" t="s">
        <v>291</v>
      </c>
      <c r="B297" s="1707" t="s">
        <v>292</v>
      </c>
      <c r="C297" s="306"/>
      <c r="D297" s="2754"/>
      <c r="E297" s="2558"/>
      <c r="F297" s="2689" t="str">
        <f>INDEX(PT_DIFFERENTIATION_VTAR,MATCH(A297,PT_DIFFERENTIATION_VTAR_ID,0))</f>
        <v>Тариф на питьевую воду (питьевое водоснабжение)</v>
      </c>
      <c r="G297" s="2729" t="str">
        <f>INDEX(PT_DIFFERENTIATION_NTAR,MATCH(B297,PT_DIFFERENTIATION_NTAR_ID,0))</f>
        <v>Тариф на холодное водоснабжение (питьевая)</v>
      </c>
      <c r="H297" s="1788"/>
      <c r="I297" s="1666"/>
      <c r="J297" s="1700"/>
      <c r="K297" s="1705"/>
      <c r="L297" s="1788" t="s">
        <v>386</v>
      </c>
      <c r="M297" s="278"/>
      <c r="N297" s="271"/>
      <c r="O297" s="1551"/>
      <c r="P297" s="1551"/>
      <c r="AH297" s="1558">
        <v>0</v>
      </c>
    </row>
    <row r="298" spans="1:34" s="1562" customFormat="1" ht="18.75" hidden="1" customHeight="1">
      <c r="A298" s="1707"/>
      <c r="B298" s="1707"/>
      <c r="C298" s="306" t="s">
        <v>1224</v>
      </c>
      <c r="D298" s="2754"/>
      <c r="E298" s="2558"/>
      <c r="F298" s="2689"/>
      <c r="G298" s="2729"/>
      <c r="H298" s="1427"/>
      <c r="I298" s="588" t="s">
        <v>1223</v>
      </c>
      <c r="J298" s="508"/>
      <c r="K298" s="1427"/>
      <c r="L298" s="151"/>
      <c r="M298" s="278"/>
      <c r="N298" s="271"/>
      <c r="O298" s="1551"/>
      <c r="P298" s="1551"/>
      <c r="AH298" s="1558">
        <v>0</v>
      </c>
    </row>
    <row r="299" spans="1:34" s="1562" customFormat="1" ht="0.75" hidden="1" customHeight="1">
      <c r="A299" s="1707"/>
      <c r="B299" s="1707"/>
      <c r="C299" s="306" t="s">
        <v>1231</v>
      </c>
      <c r="D299" s="2754"/>
      <c r="E299" s="2558"/>
      <c r="F299" s="2689"/>
      <c r="G299" s="337"/>
      <c r="H299" s="1427"/>
      <c r="I299" s="588"/>
      <c r="J299" s="508"/>
      <c r="K299" s="1427"/>
      <c r="L299" s="151"/>
      <c r="M299" s="278"/>
      <c r="N299" s="271"/>
      <c r="O299" s="1551"/>
      <c r="P299" s="1551"/>
      <c r="AH299" s="1558">
        <v>0</v>
      </c>
    </row>
    <row r="300" spans="1:34" s="1562" customFormat="1" ht="18.75" hidden="1" customHeight="1">
      <c r="A300" s="1707" t="s">
        <v>304</v>
      </c>
      <c r="B300" s="1707" t="s">
        <v>305</v>
      </c>
      <c r="C300" s="306"/>
      <c r="D300" s="2754"/>
      <c r="E300" s="2558"/>
      <c r="F300" s="2689" t="str">
        <f>INDEX(PT_DIFFERENTIATION_VTAR,MATCH(A300,PT_DIFFERENTIATION_VTAR_ID,0))</f>
        <v>Тариф на техническую воду</v>
      </c>
      <c r="G300" s="2729" t="str">
        <f>INDEX(PT_DIFFERENTIATION_NTAR,MATCH(B300,PT_DIFFERENTIATION_NTAR_ID,0))</f>
        <v>Тариф на холодное водоснабжение (техническая)</v>
      </c>
      <c r="H300" s="1788"/>
      <c r="I300" s="1666"/>
      <c r="J300" s="1700"/>
      <c r="K300" s="1705"/>
      <c r="L300" s="1788" t="s">
        <v>386</v>
      </c>
      <c r="M300" s="278"/>
      <c r="N300" s="271"/>
      <c r="O300" s="1551"/>
      <c r="P300" s="1551"/>
      <c r="AH300" s="1558">
        <v>0</v>
      </c>
    </row>
    <row r="301" spans="1:34" s="1562" customFormat="1" ht="18.75" hidden="1" customHeight="1">
      <c r="A301" s="1707"/>
      <c r="B301" s="1707"/>
      <c r="C301" s="306" t="s">
        <v>1224</v>
      </c>
      <c r="D301" s="2754"/>
      <c r="E301" s="2558"/>
      <c r="F301" s="2689"/>
      <c r="G301" s="2729"/>
      <c r="H301" s="1427"/>
      <c r="I301" s="588" t="s">
        <v>1223</v>
      </c>
      <c r="J301" s="508"/>
      <c r="K301" s="1427"/>
      <c r="L301" s="151"/>
      <c r="M301" s="278"/>
      <c r="N301" s="271"/>
      <c r="O301" s="1551"/>
      <c r="P301" s="1551"/>
      <c r="AH301" s="1558">
        <v>0</v>
      </c>
    </row>
    <row r="302" spans="1:34" s="1562" customFormat="1" ht="0.75" hidden="1" customHeight="1">
      <c r="A302" s="1707"/>
      <c r="B302" s="1707"/>
      <c r="C302" s="306" t="s">
        <v>1231</v>
      </c>
      <c r="D302" s="2754"/>
      <c r="E302" s="2558"/>
      <c r="F302" s="2689"/>
      <c r="G302" s="337"/>
      <c r="H302" s="1427"/>
      <c r="I302" s="588"/>
      <c r="J302" s="508"/>
      <c r="K302" s="1427"/>
      <c r="L302" s="151"/>
      <c r="M302" s="278"/>
      <c r="N302" s="271"/>
      <c r="O302" s="1551"/>
      <c r="P302" s="1551"/>
      <c r="AH302" s="1558">
        <v>0</v>
      </c>
    </row>
    <row r="303" spans="1:34" s="1562" customFormat="1" ht="18.75" hidden="1" customHeight="1">
      <c r="A303" s="1707" t="s">
        <v>315</v>
      </c>
      <c r="B303" s="1707" t="s">
        <v>316</v>
      </c>
      <c r="C303" s="306"/>
      <c r="D303" s="2754"/>
      <c r="E303" s="2558"/>
      <c r="F303" s="2689" t="str">
        <f>INDEX(PT_DIFFERENTIATION_VTAR,MATCH(A303,PT_DIFFERENTIATION_VTAR_ID,0))</f>
        <v>Тариф на транспортировку воды</v>
      </c>
      <c r="G303" s="2729" t="str">
        <f>INDEX(PT_DIFFERENTIATION_NTAR,MATCH(B303,PT_DIFFERENTIATION_NTAR_ID,0))</f>
        <v/>
      </c>
      <c r="H303" s="1788"/>
      <c r="I303" s="1666"/>
      <c r="J303" s="1700"/>
      <c r="K303" s="1705"/>
      <c r="L303" s="1788" t="s">
        <v>386</v>
      </c>
      <c r="M303" s="278"/>
      <c r="N303" s="271"/>
      <c r="O303" s="1551"/>
      <c r="P303" s="1551"/>
      <c r="AH303" s="1558">
        <v>0</v>
      </c>
    </row>
    <row r="304" spans="1:34" s="1562" customFormat="1" ht="18.75" hidden="1" customHeight="1">
      <c r="A304" s="1707"/>
      <c r="B304" s="1707"/>
      <c r="C304" s="306" t="s">
        <v>1224</v>
      </c>
      <c r="D304" s="2754"/>
      <c r="E304" s="2558"/>
      <c r="F304" s="2689"/>
      <c r="G304" s="2729"/>
      <c r="H304" s="1427"/>
      <c r="I304" s="588" t="s">
        <v>1223</v>
      </c>
      <c r="J304" s="508"/>
      <c r="K304" s="1427"/>
      <c r="L304" s="151"/>
      <c r="M304" s="278"/>
      <c r="N304" s="271"/>
      <c r="O304" s="1551"/>
      <c r="P304" s="1551"/>
      <c r="AH304" s="1558">
        <v>0</v>
      </c>
    </row>
    <row r="305" spans="1:34" s="1562" customFormat="1" ht="0.75" hidden="1" customHeight="1">
      <c r="A305" s="1707"/>
      <c r="B305" s="1707"/>
      <c r="C305" s="306" t="s">
        <v>1231</v>
      </c>
      <c r="D305" s="2754"/>
      <c r="E305" s="2558"/>
      <c r="F305" s="2689"/>
      <c r="G305" s="337"/>
      <c r="H305" s="1427"/>
      <c r="I305" s="588"/>
      <c r="J305" s="508"/>
      <c r="K305" s="1427"/>
      <c r="L305" s="151"/>
      <c r="M305" s="278"/>
      <c r="N305" s="271"/>
      <c r="O305" s="1551"/>
      <c r="P305" s="1551"/>
      <c r="AH305" s="1558">
        <v>0</v>
      </c>
    </row>
    <row r="306" spans="1:34" s="1562" customFormat="1" ht="18.75" hidden="1" customHeight="1">
      <c r="A306" s="1707" t="s">
        <v>320</v>
      </c>
      <c r="B306" s="1707" t="s">
        <v>321</v>
      </c>
      <c r="C306" s="306"/>
      <c r="D306" s="2754"/>
      <c r="E306" s="2558"/>
      <c r="F306" s="2689" t="str">
        <f>INDEX(PT_DIFFERENTIATION_VTAR,MATCH(A306,PT_DIFFERENTIATION_VTAR_ID,0))</f>
        <v>Тариф на подвоз воды</v>
      </c>
      <c r="G306" s="2729" t="str">
        <f>INDEX(PT_DIFFERENTIATION_NTAR,MATCH(B306,PT_DIFFERENTIATION_NTAR_ID,0))</f>
        <v/>
      </c>
      <c r="H306" s="1788"/>
      <c r="I306" s="1666"/>
      <c r="J306" s="1700"/>
      <c r="K306" s="1705"/>
      <c r="L306" s="1788" t="s">
        <v>386</v>
      </c>
      <c r="M306" s="278"/>
      <c r="N306" s="271"/>
      <c r="O306" s="1551"/>
      <c r="P306" s="1551"/>
      <c r="AH306" s="1558">
        <v>0</v>
      </c>
    </row>
    <row r="307" spans="1:34" s="1562" customFormat="1" ht="18.75" hidden="1" customHeight="1">
      <c r="A307" s="1707"/>
      <c r="B307" s="1707"/>
      <c r="C307" s="306" t="s">
        <v>1224</v>
      </c>
      <c r="D307" s="2754"/>
      <c r="E307" s="2558"/>
      <c r="F307" s="2689"/>
      <c r="G307" s="2729"/>
      <c r="H307" s="1427"/>
      <c r="I307" s="588" t="s">
        <v>1223</v>
      </c>
      <c r="J307" s="508"/>
      <c r="K307" s="1427"/>
      <c r="L307" s="151"/>
      <c r="M307" s="278"/>
      <c r="N307" s="271"/>
      <c r="O307" s="1551"/>
      <c r="P307" s="1551"/>
      <c r="AH307" s="1558">
        <v>0</v>
      </c>
    </row>
    <row r="308" spans="1:34" s="1562" customFormat="1" ht="0.75" hidden="1" customHeight="1">
      <c r="A308" s="1707"/>
      <c r="B308" s="1707"/>
      <c r="C308" s="306" t="s">
        <v>1231</v>
      </c>
      <c r="D308" s="2754"/>
      <c r="E308" s="2558"/>
      <c r="F308" s="2689"/>
      <c r="G308" s="337"/>
      <c r="H308" s="1427"/>
      <c r="I308" s="588"/>
      <c r="J308" s="508"/>
      <c r="K308" s="1427"/>
      <c r="L308" s="151"/>
      <c r="M308" s="278"/>
      <c r="N308" s="271"/>
      <c r="O308" s="1551"/>
      <c r="P308" s="1551"/>
      <c r="AH308" s="1558">
        <v>0</v>
      </c>
    </row>
    <row r="309" spans="1:34" s="1562" customFormat="1" ht="18.75" hidden="1" customHeight="1">
      <c r="A309" s="1707" t="s">
        <v>325</v>
      </c>
      <c r="B309" s="1707" t="s">
        <v>326</v>
      </c>
      <c r="C309" s="306"/>
      <c r="D309" s="2754"/>
      <c r="E309" s="2558"/>
      <c r="F309" s="26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29" t="str">
        <f>INDEX(PT_DIFFERENTIATION_NTAR,MATCH(B309,PT_DIFFERENTIATION_NTAR_ID,0))</f>
        <v/>
      </c>
      <c r="H309" s="1788"/>
      <c r="I309" s="1666"/>
      <c r="J309" s="1700"/>
      <c r="K309" s="1705"/>
      <c r="L309" s="1788" t="s">
        <v>386</v>
      </c>
      <c r="M309" s="278"/>
      <c r="N309" s="271"/>
      <c r="O309" s="1551"/>
      <c r="P309" s="1551"/>
      <c r="AH309" s="1558">
        <v>0</v>
      </c>
    </row>
    <row r="310" spans="1:34" s="1562" customFormat="1" ht="18.75" hidden="1" customHeight="1">
      <c r="A310" s="1707"/>
      <c r="B310" s="1707"/>
      <c r="C310" s="306" t="s">
        <v>1224</v>
      </c>
      <c r="D310" s="2754"/>
      <c r="E310" s="2558"/>
      <c r="F310" s="2689"/>
      <c r="G310" s="2729"/>
      <c r="H310" s="1427"/>
      <c r="I310" s="588" t="s">
        <v>1223</v>
      </c>
      <c r="J310" s="508"/>
      <c r="K310" s="1427"/>
      <c r="L310" s="151"/>
      <c r="M310" s="278"/>
      <c r="N310" s="271"/>
      <c r="O310" s="1551"/>
      <c r="P310" s="1551"/>
      <c r="AH310" s="1558">
        <v>0</v>
      </c>
    </row>
    <row r="311" spans="1:34" s="1562" customFormat="1" ht="0.75" hidden="1" customHeight="1">
      <c r="A311" s="1707"/>
      <c r="B311" s="1707"/>
      <c r="C311" s="306" t="s">
        <v>1231</v>
      </c>
      <c r="D311" s="2754"/>
      <c r="E311" s="2558"/>
      <c r="F311" s="2689"/>
      <c r="G311" s="337"/>
      <c r="H311" s="1427"/>
      <c r="I311" s="588"/>
      <c r="J311" s="508"/>
      <c r="K311" s="1427"/>
      <c r="L311" s="151"/>
      <c r="M311" s="278"/>
      <c r="N311" s="271"/>
      <c r="O311" s="1551"/>
      <c r="P311" s="1551"/>
      <c r="AH311" s="1558">
        <v>0</v>
      </c>
    </row>
    <row r="312" spans="1:34" s="1562" customFormat="1" ht="18.75" hidden="1" customHeight="1">
      <c r="A312" s="1707" t="s">
        <v>330</v>
      </c>
      <c r="B312" s="1707" t="s">
        <v>331</v>
      </c>
      <c r="C312" s="306"/>
      <c r="D312" s="2754"/>
      <c r="E312" s="2558"/>
      <c r="F312" s="2689" t="str">
        <f>INDEX(PT_DIFFERENTIATION_VTAR,MATCH(A312,PT_DIFFERENTIATION_VTAR_ID,0))</f>
        <v>Тариф на горячую воду (горячее водоснабжение)</v>
      </c>
      <c r="G312" s="2729" t="str">
        <f>INDEX(PT_DIFFERENTIATION_NTAR,MATCH(B312,PT_DIFFERENTIATION_NTAR_ID,0))</f>
        <v/>
      </c>
      <c r="H312" s="1788"/>
      <c r="I312" s="1666"/>
      <c r="J312" s="1700"/>
      <c r="K312" s="1705"/>
      <c r="L312" s="1788" t="s">
        <v>386</v>
      </c>
      <c r="M312" s="278"/>
      <c r="N312" s="271"/>
      <c r="O312" s="1551"/>
      <c r="P312" s="1551"/>
      <c r="AH312" s="1558">
        <v>0</v>
      </c>
    </row>
    <row r="313" spans="1:34" s="1562" customFormat="1" ht="18.75" hidden="1" customHeight="1">
      <c r="A313" s="1707"/>
      <c r="B313" s="1707"/>
      <c r="C313" s="306" t="s">
        <v>1224</v>
      </c>
      <c r="D313" s="2754"/>
      <c r="E313" s="2558"/>
      <c r="F313" s="2689"/>
      <c r="G313" s="2729"/>
      <c r="H313" s="1427"/>
      <c r="I313" s="588" t="s">
        <v>1223</v>
      </c>
      <c r="J313" s="508"/>
      <c r="K313" s="1427"/>
      <c r="L313" s="151"/>
      <c r="M313" s="278"/>
      <c r="N313" s="271"/>
      <c r="O313" s="1551"/>
      <c r="P313" s="1551"/>
      <c r="AH313" s="1558">
        <v>0</v>
      </c>
    </row>
    <row r="314" spans="1:34" s="1562" customFormat="1" ht="0.75" hidden="1" customHeight="1">
      <c r="A314" s="1707"/>
      <c r="B314" s="1707"/>
      <c r="C314" s="306" t="s">
        <v>1231</v>
      </c>
      <c r="D314" s="2754"/>
      <c r="E314" s="2558"/>
      <c r="F314" s="2689"/>
      <c r="G314" s="337"/>
      <c r="H314" s="1427"/>
      <c r="I314" s="588"/>
      <c r="J314" s="508"/>
      <c r="K314" s="1427"/>
      <c r="L314" s="151"/>
      <c r="M314" s="278"/>
      <c r="N314" s="271"/>
      <c r="O314" s="1551"/>
      <c r="P314" s="1551"/>
      <c r="AH314" s="1558">
        <v>0</v>
      </c>
    </row>
    <row r="315" spans="1:34" s="1562" customFormat="1" ht="18.75" hidden="1" customHeight="1">
      <c r="A315" s="1707" t="s">
        <v>335</v>
      </c>
      <c r="B315" s="1707" t="s">
        <v>336</v>
      </c>
      <c r="C315" s="306"/>
      <c r="D315" s="2754"/>
      <c r="E315" s="2558"/>
      <c r="F315" s="2689" t="str">
        <f>INDEX(PT_DIFFERENTIATION_VTAR,MATCH(A315,PT_DIFFERENTIATION_VTAR_ID,0))</f>
        <v>Тариф на транспортировку горячей воды</v>
      </c>
      <c r="G315" s="2729" t="str">
        <f>INDEX(PT_DIFFERENTIATION_NTAR,MATCH(B315,PT_DIFFERENTIATION_NTAR_ID,0))</f>
        <v/>
      </c>
      <c r="H315" s="1788"/>
      <c r="I315" s="1666"/>
      <c r="J315" s="1700"/>
      <c r="K315" s="1705"/>
      <c r="L315" s="1788" t="s">
        <v>386</v>
      </c>
      <c r="M315" s="278"/>
      <c r="N315" s="271"/>
      <c r="O315" s="1551"/>
      <c r="P315" s="1551"/>
      <c r="AH315" s="1558">
        <v>0</v>
      </c>
    </row>
    <row r="316" spans="1:34" s="1562" customFormat="1" ht="18.75" hidden="1" customHeight="1">
      <c r="A316" s="1707"/>
      <c r="B316" s="1707"/>
      <c r="C316" s="306" t="s">
        <v>1224</v>
      </c>
      <c r="D316" s="2754"/>
      <c r="E316" s="2558"/>
      <c r="F316" s="2689"/>
      <c r="G316" s="2729"/>
      <c r="H316" s="1427"/>
      <c r="I316" s="588" t="s">
        <v>1223</v>
      </c>
      <c r="J316" s="508"/>
      <c r="K316" s="1427"/>
      <c r="L316" s="151"/>
      <c r="M316" s="278"/>
      <c r="N316" s="271"/>
      <c r="O316" s="1551"/>
      <c r="P316" s="1551"/>
      <c r="AH316" s="1558">
        <v>0</v>
      </c>
    </row>
    <row r="317" spans="1:34" s="1562" customFormat="1" ht="0.75" hidden="1" customHeight="1">
      <c r="A317" s="1707"/>
      <c r="B317" s="1707"/>
      <c r="C317" s="306" t="s">
        <v>1231</v>
      </c>
      <c r="D317" s="2754"/>
      <c r="E317" s="2558"/>
      <c r="F317" s="2689"/>
      <c r="G317" s="337"/>
      <c r="H317" s="1427"/>
      <c r="I317" s="588"/>
      <c r="J317" s="508"/>
      <c r="K317" s="1427"/>
      <c r="L317" s="151"/>
      <c r="M317" s="278"/>
      <c r="N317" s="271"/>
      <c r="O317" s="1551"/>
      <c r="P317" s="1551"/>
      <c r="AH317" s="1558">
        <v>0</v>
      </c>
    </row>
    <row r="318" spans="1:34" s="1562" customFormat="1" ht="18.75" hidden="1" customHeight="1">
      <c r="A318" s="1707" t="s">
        <v>340</v>
      </c>
      <c r="B318" s="1707" t="s">
        <v>341</v>
      </c>
      <c r="C318" s="306"/>
      <c r="D318" s="2754"/>
      <c r="E318" s="2558"/>
      <c r="F318" s="26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29" t="str">
        <f>INDEX(PT_DIFFERENTIATION_NTAR,MATCH(B318,PT_DIFFERENTIATION_NTAR_ID,0))</f>
        <v/>
      </c>
      <c r="H318" s="1788"/>
      <c r="I318" s="1666"/>
      <c r="J318" s="1700"/>
      <c r="K318" s="1705"/>
      <c r="L318" s="1788" t="s">
        <v>386</v>
      </c>
      <c r="M318" s="278"/>
      <c r="N318" s="271"/>
      <c r="O318" s="1551"/>
      <c r="P318" s="1551"/>
      <c r="AH318" s="1558">
        <v>0</v>
      </c>
    </row>
    <row r="319" spans="1:34" s="1562" customFormat="1" ht="18.75" hidden="1" customHeight="1">
      <c r="A319" s="1707"/>
      <c r="B319" s="1707"/>
      <c r="C319" s="306" t="s">
        <v>1224</v>
      </c>
      <c r="D319" s="2754"/>
      <c r="E319" s="2558"/>
      <c r="F319" s="2689"/>
      <c r="G319" s="2729"/>
      <c r="H319" s="1427"/>
      <c r="I319" s="588" t="s">
        <v>1223</v>
      </c>
      <c r="J319" s="508"/>
      <c r="K319" s="1427"/>
      <c r="L319" s="151"/>
      <c r="M319" s="278"/>
      <c r="N319" s="271"/>
      <c r="O319" s="1551"/>
      <c r="P319" s="1551"/>
      <c r="AH319" s="1558">
        <v>0</v>
      </c>
    </row>
    <row r="320" spans="1:34" s="1562" customFormat="1" ht="0.75" hidden="1" customHeight="1">
      <c r="A320" s="1707"/>
      <c r="B320" s="1707"/>
      <c r="C320" s="306" t="s">
        <v>1231</v>
      </c>
      <c r="D320" s="2754"/>
      <c r="E320" s="2558"/>
      <c r="F320" s="2689"/>
      <c r="G320" s="337"/>
      <c r="H320" s="1427"/>
      <c r="I320" s="588"/>
      <c r="J320" s="508"/>
      <c r="K320" s="1427"/>
      <c r="L320" s="151"/>
      <c r="M320" s="278"/>
      <c r="N320" s="271"/>
      <c r="O320" s="1551"/>
      <c r="P320" s="1551"/>
      <c r="AH320" s="1558">
        <v>0</v>
      </c>
    </row>
    <row r="321" spans="1:34" s="1562" customFormat="1" ht="18.75" hidden="1" customHeight="1">
      <c r="A321" s="1707" t="s">
        <v>345</v>
      </c>
      <c r="B321" s="1707" t="s">
        <v>346</v>
      </c>
      <c r="C321" s="306"/>
      <c r="D321" s="2754"/>
      <c r="E321" s="2558"/>
      <c r="F321" s="2689" t="str">
        <f>INDEX(PT_DIFFERENTIATION_VTAR,MATCH(A321,PT_DIFFERENTIATION_VTAR_ID,0))</f>
        <v>Тариф на водоотведение</v>
      </c>
      <c r="G321" s="2729" t="str">
        <f>INDEX(PT_DIFFERENTIATION_NTAR,MATCH(B321,PT_DIFFERENTIATION_NTAR_ID,0))</f>
        <v/>
      </c>
      <c r="H321" s="1788"/>
      <c r="I321" s="1666"/>
      <c r="J321" s="1700"/>
      <c r="K321" s="1705"/>
      <c r="L321" s="1788" t="s">
        <v>386</v>
      </c>
      <c r="M321" s="278"/>
      <c r="N321" s="271"/>
      <c r="O321" s="1551"/>
      <c r="P321" s="1551"/>
      <c r="AH321" s="1558">
        <v>0</v>
      </c>
    </row>
    <row r="322" spans="1:34" s="1562" customFormat="1" ht="18.75" hidden="1" customHeight="1">
      <c r="A322" s="1707"/>
      <c r="B322" s="1707"/>
      <c r="C322" s="306" t="s">
        <v>1224</v>
      </c>
      <c r="D322" s="2754"/>
      <c r="E322" s="2558"/>
      <c r="F322" s="2689"/>
      <c r="G322" s="2729"/>
      <c r="H322" s="1427"/>
      <c r="I322" s="588" t="s">
        <v>1223</v>
      </c>
      <c r="J322" s="508"/>
      <c r="K322" s="1427"/>
      <c r="L322" s="151"/>
      <c r="M322" s="278"/>
      <c r="N322" s="271"/>
      <c r="O322" s="1551"/>
      <c r="P322" s="1551"/>
      <c r="AH322" s="1558">
        <v>0</v>
      </c>
    </row>
    <row r="323" spans="1:34" s="1562" customFormat="1" ht="0.75" hidden="1" customHeight="1">
      <c r="A323" s="1707"/>
      <c r="B323" s="1707"/>
      <c r="C323" s="306" t="s">
        <v>1231</v>
      </c>
      <c r="D323" s="2754"/>
      <c r="E323" s="2558"/>
      <c r="F323" s="2689"/>
      <c r="G323" s="337"/>
      <c r="H323" s="1427"/>
      <c r="I323" s="588"/>
      <c r="J323" s="508"/>
      <c r="K323" s="1427"/>
      <c r="L323" s="151"/>
      <c r="M323" s="278"/>
      <c r="N323" s="271"/>
      <c r="O323" s="1551"/>
      <c r="P323" s="1551"/>
      <c r="AH323" s="1558">
        <v>0</v>
      </c>
    </row>
    <row r="324" spans="1:34" s="1562" customFormat="1" ht="18.75" hidden="1" customHeight="1">
      <c r="A324" s="1707" t="s">
        <v>350</v>
      </c>
      <c r="B324" s="1707" t="s">
        <v>351</v>
      </c>
      <c r="C324" s="306"/>
      <c r="D324" s="2754"/>
      <c r="E324" s="2558"/>
      <c r="F324" s="2689" t="str">
        <f>INDEX(PT_DIFFERENTIATION_VTAR,MATCH(A324,PT_DIFFERENTIATION_VTAR_ID,0))</f>
        <v>Тариф на транспортировку сточных вод</v>
      </c>
      <c r="G324" s="2729" t="str">
        <f>INDEX(PT_DIFFERENTIATION_NTAR,MATCH(B324,PT_DIFFERENTIATION_NTAR_ID,0))</f>
        <v/>
      </c>
      <c r="H324" s="1788"/>
      <c r="I324" s="1666"/>
      <c r="J324" s="1700"/>
      <c r="K324" s="1705"/>
      <c r="L324" s="1788" t="s">
        <v>386</v>
      </c>
      <c r="M324" s="278"/>
      <c r="N324" s="271"/>
      <c r="O324" s="1551"/>
      <c r="P324" s="1551"/>
      <c r="AH324" s="1558">
        <v>0</v>
      </c>
    </row>
    <row r="325" spans="1:34" s="1562" customFormat="1" ht="18.75" hidden="1" customHeight="1">
      <c r="A325" s="1707"/>
      <c r="B325" s="1707"/>
      <c r="C325" s="306" t="s">
        <v>1224</v>
      </c>
      <c r="D325" s="2754"/>
      <c r="E325" s="2558"/>
      <c r="F325" s="2689"/>
      <c r="G325" s="2729"/>
      <c r="H325" s="1427"/>
      <c r="I325" s="588" t="s">
        <v>1223</v>
      </c>
      <c r="J325" s="508"/>
      <c r="K325" s="1427"/>
      <c r="L325" s="151"/>
      <c r="M325" s="278"/>
      <c r="N325" s="271"/>
      <c r="O325" s="1551"/>
      <c r="P325" s="1551"/>
      <c r="AH325" s="1558">
        <v>0</v>
      </c>
    </row>
    <row r="326" spans="1:34" s="1562" customFormat="1" ht="0.75" hidden="1" customHeight="1">
      <c r="A326" s="1707"/>
      <c r="B326" s="1707"/>
      <c r="C326" s="306" t="s">
        <v>1231</v>
      </c>
      <c r="D326" s="2754"/>
      <c r="E326" s="2558"/>
      <c r="F326" s="2689"/>
      <c r="G326" s="337"/>
      <c r="H326" s="1427"/>
      <c r="I326" s="588"/>
      <c r="J326" s="508"/>
      <c r="K326" s="1427"/>
      <c r="L326" s="151"/>
      <c r="M326" s="278"/>
      <c r="N326" s="271"/>
      <c r="O326" s="1551"/>
      <c r="P326" s="1551"/>
      <c r="AH326" s="1558">
        <v>0</v>
      </c>
    </row>
    <row r="327" spans="1:34" s="1562" customFormat="1" ht="18.75" hidden="1" customHeight="1">
      <c r="A327" s="1707" t="s">
        <v>355</v>
      </c>
      <c r="B327" s="1707" t="s">
        <v>356</v>
      </c>
      <c r="C327" s="306"/>
      <c r="D327" s="2754"/>
      <c r="E327" s="2558"/>
      <c r="F327" s="2689" t="str">
        <f>INDEX(PT_DIFFERENTIATION_VTAR,MATCH(A327,PT_DIFFERENTIATION_VTAR_ID,0))</f>
        <v>Тариф на подключение (технологическое присоединение) к централизованной системе водоотведения</v>
      </c>
      <c r="G327" s="2729" t="str">
        <f>INDEX(PT_DIFFERENTIATION_NTAR,MATCH(B327,PT_DIFFERENTIATION_NTAR_ID,0))</f>
        <v/>
      </c>
      <c r="H327" s="1788"/>
      <c r="I327" s="1666"/>
      <c r="J327" s="1700"/>
      <c r="K327" s="1705"/>
      <c r="L327" s="1788" t="s">
        <v>386</v>
      </c>
      <c r="M327" s="278"/>
      <c r="N327" s="271"/>
      <c r="O327" s="1551"/>
      <c r="P327" s="1551"/>
      <c r="AH327" s="1558">
        <v>0</v>
      </c>
    </row>
    <row r="328" spans="1:34" s="1562" customFormat="1" ht="18.75" hidden="1" customHeight="1">
      <c r="A328" s="1707"/>
      <c r="B328" s="1707"/>
      <c r="C328" s="306" t="s">
        <v>1224</v>
      </c>
      <c r="D328" s="2754"/>
      <c r="E328" s="2558"/>
      <c r="F328" s="2689"/>
      <c r="G328" s="2729"/>
      <c r="H328" s="1427"/>
      <c r="I328" s="588" t="s">
        <v>1223</v>
      </c>
      <c r="J328" s="508"/>
      <c r="K328" s="1427"/>
      <c r="L328" s="151"/>
      <c r="M328" s="278"/>
      <c r="N328" s="271"/>
      <c r="O328" s="1551"/>
      <c r="P328" s="1551"/>
      <c r="AH328" s="1558">
        <v>0</v>
      </c>
    </row>
    <row r="329" spans="1:34" s="1562" customFormat="1" ht="1.1499999999999999" customHeight="1">
      <c r="A329" s="1707"/>
      <c r="B329" s="1707"/>
      <c r="C329" s="306" t="s">
        <v>1231</v>
      </c>
      <c r="D329" s="2754"/>
      <c r="E329" s="2558"/>
      <c r="F329" s="2689"/>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600"/>
      <c r="G331" s="2600"/>
      <c r="H331" s="2600"/>
      <c r="I331" s="2600"/>
      <c r="J331" s="2600"/>
      <c r="K331" s="2600"/>
      <c r="L331" s="2600"/>
      <c r="M331" s="2600"/>
      <c r="AH331" s="311">
        <v>25</v>
      </c>
    </row>
    <row r="332" spans="1:34" ht="14.25" hidden="1" customHeight="1">
      <c r="A332" s="1706" t="s">
        <v>82</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103</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51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512"/>
      <c r="F5" s="2512"/>
      <c r="G5" s="2513"/>
      <c r="H5" s="203"/>
      <c r="R5" s="311">
        <v>33</v>
      </c>
    </row>
    <row r="6" spans="1:18" s="1562" customFormat="1" ht="18" customHeight="1">
      <c r="A6" s="1596"/>
      <c r="B6" s="1087"/>
      <c r="C6" s="313"/>
      <c r="D6"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78"/>
      <c r="F6" s="2578"/>
      <c r="G6" s="2579"/>
      <c r="H6" s="203"/>
      <c r="J6" s="1551"/>
      <c r="K6" s="1551"/>
      <c r="R6" s="1558">
        <v>17</v>
      </c>
    </row>
    <row r="7" spans="1:18" ht="14.65" customHeight="1">
      <c r="C7" s="313"/>
      <c r="D7" s="300"/>
      <c r="E7" s="326"/>
      <c r="F7" s="326"/>
      <c r="G7" s="689"/>
      <c r="H7" s="130"/>
      <c r="R7" s="311">
        <v>14</v>
      </c>
    </row>
    <row r="8" spans="1:18" ht="14.65" customHeight="1">
      <c r="C8" s="313"/>
      <c r="D8" s="2563" t="s">
        <v>380</v>
      </c>
      <c r="E8" s="2563"/>
      <c r="F8" s="2563"/>
      <c r="G8" s="2563"/>
      <c r="H8" s="2703" t="s">
        <v>381</v>
      </c>
      <c r="R8" s="311">
        <v>14</v>
      </c>
    </row>
    <row r="9" spans="1:18" ht="24" customHeight="1">
      <c r="C9" s="313"/>
      <c r="D9" s="323" t="s">
        <v>88</v>
      </c>
      <c r="E9" s="47" t="s">
        <v>382</v>
      </c>
      <c r="F9" s="47" t="s">
        <v>383</v>
      </c>
      <c r="G9" s="47" t="s">
        <v>470</v>
      </c>
      <c r="H9" s="2703"/>
      <c r="R9" s="311">
        <v>23</v>
      </c>
    </row>
    <row r="10" spans="1:18" ht="14.65" customHeight="1">
      <c r="A10" s="280"/>
      <c r="C10" s="313"/>
      <c r="D10" s="84" t="s">
        <v>177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505" t="s">
        <v>1232</v>
      </c>
      <c r="R10" s="311">
        <v>14</v>
      </c>
    </row>
    <row r="11" spans="1:18" ht="14.65" customHeight="1">
      <c r="A11" s="280"/>
      <c r="C11" s="313"/>
      <c r="D11" s="84" t="s">
        <v>102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506"/>
      <c r="R11" s="311">
        <v>14</v>
      </c>
    </row>
    <row r="12" spans="1:18" ht="14.65" customHeight="1">
      <c r="A12" s="41"/>
      <c r="C12" s="324"/>
      <c r="D12" s="84" t="s">
        <v>90</v>
      </c>
      <c r="E12" s="325" t="str">
        <f>"Сведения о планировании закупочных процедур"&amp;IF(TEMPLATE_SPHERE="TKO"," &lt;1&gt;","")</f>
        <v>Сведения о планировании закупочных процедур</v>
      </c>
      <c r="F12" s="194"/>
      <c r="G12" s="150"/>
      <c r="H12" s="25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91</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506"/>
      <c r="I13" s="287"/>
      <c r="K13" s="311"/>
      <c r="R13" s="311">
        <v>14</v>
      </c>
    </row>
    <row r="14" spans="1:18" ht="14.65" customHeight="1">
      <c r="A14" s="280"/>
      <c r="C14" s="313"/>
      <c r="D14" s="284"/>
      <c r="E14" s="332" t="s">
        <v>402</v>
      </c>
      <c r="F14" s="286"/>
      <c r="G14" s="138"/>
      <c r="H14" s="2507"/>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600"/>
      <c r="F16" s="2600"/>
      <c r="G16" s="2600"/>
      <c r="H16" s="2600"/>
      <c r="R16" s="311">
        <v>14</v>
      </c>
    </row>
    <row r="17" spans="1:18" ht="22.5" hidden="1" customHeight="1">
      <c r="A17" s="301" t="s">
        <v>82</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55"/>
  <sheetViews>
    <sheetView showGridLines="0" zoomScale="90" workbookViewId="0">
      <pane xSplit="6" ySplit="12" topLeftCell="G79" activePane="bottomRight" state="frozen"/>
      <selection pane="topRight" activeCell="G1" sqref="G1"/>
      <selection pane="bottomLeft" activeCell="A13" sqref="A13"/>
      <selection pane="bottomRight" activeCell="O93" sqref="O93:O95"/>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51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12"/>
      <c r="F5" s="2512"/>
      <c r="G5" s="2512"/>
      <c r="H5" s="2512"/>
      <c r="I5" s="2512"/>
      <c r="J5" s="2513"/>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51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17"/>
      <c r="F6" s="2517"/>
      <c r="G6" s="2517"/>
      <c r="H6" s="2517"/>
      <c r="I6" s="2517"/>
      <c r="J6" s="251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514"/>
      <c r="E7" s="2515"/>
      <c r="F7" s="2515"/>
      <c r="G7" s="2515"/>
      <c r="H7" s="2515"/>
      <c r="I7" s="2515"/>
      <c r="J7" s="2516"/>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461" t="s">
        <v>88</v>
      </c>
      <c r="E9" s="2442" t="s">
        <v>188</v>
      </c>
      <c r="F9" s="2441"/>
      <c r="G9" s="2461" t="s">
        <v>173</v>
      </c>
      <c r="H9" s="2461" t="s">
        <v>88</v>
      </c>
      <c r="I9" s="2461"/>
      <c r="J9" s="2461" t="s">
        <v>189</v>
      </c>
      <c r="K9" s="2518" t="s">
        <v>190</v>
      </c>
      <c r="L9" s="2518"/>
      <c r="M9" s="2518"/>
      <c r="N9" s="2518"/>
      <c r="O9" s="2518" t="s">
        <v>191</v>
      </c>
      <c r="P9" s="2518"/>
      <c r="Q9" s="2518"/>
      <c r="R9" s="2518"/>
      <c r="S9" s="2518" t="s">
        <v>192</v>
      </c>
      <c r="T9" s="2518"/>
      <c r="U9" s="2518"/>
      <c r="V9" s="2518"/>
      <c r="W9" s="2461" t="s">
        <v>193</v>
      </c>
      <c r="AR9" s="43">
        <v>27</v>
      </c>
    </row>
    <row r="10" spans="1:44" ht="31.5" customHeight="1">
      <c r="D10" s="2461"/>
      <c r="E10" s="1211" t="s">
        <v>89</v>
      </c>
      <c r="F10" s="1211" t="s">
        <v>194</v>
      </c>
      <c r="G10" s="2461"/>
      <c r="H10" s="2461"/>
      <c r="I10" s="2461"/>
      <c r="J10" s="2461"/>
      <c r="K10" s="49" t="s">
        <v>176</v>
      </c>
      <c r="L10" s="2461" t="s">
        <v>88</v>
      </c>
      <c r="M10" s="2461"/>
      <c r="N10" s="49" t="s">
        <v>195</v>
      </c>
      <c r="O10" s="49" t="s">
        <v>176</v>
      </c>
      <c r="P10" s="2461" t="s">
        <v>88</v>
      </c>
      <c r="Q10" s="2461"/>
      <c r="R10" s="49" t="s">
        <v>195</v>
      </c>
      <c r="S10" s="220" t="s">
        <v>176</v>
      </c>
      <c r="T10" s="2461" t="s">
        <v>88</v>
      </c>
      <c r="U10" s="2461"/>
      <c r="V10" s="220" t="s">
        <v>89</v>
      </c>
      <c r="W10" s="2461"/>
      <c r="Z10" s="1186" t="s">
        <v>196</v>
      </c>
      <c r="AA10" s="1186" t="s">
        <v>197</v>
      </c>
      <c r="AB10" s="1186" t="s">
        <v>198</v>
      </c>
      <c r="AC10" s="1186" t="s">
        <v>199</v>
      </c>
      <c r="AD10" s="1186" t="s">
        <v>200</v>
      </c>
      <c r="AE10" s="1186" t="s">
        <v>201</v>
      </c>
      <c r="AF10" s="1186" t="s">
        <v>202</v>
      </c>
      <c r="AG10" s="1186" t="s">
        <v>203</v>
      </c>
      <c r="AH10" s="1186" t="s">
        <v>204</v>
      </c>
      <c r="AI10" s="1186" t="s">
        <v>205</v>
      </c>
      <c r="AJ10" s="1186" t="s">
        <v>206</v>
      </c>
      <c r="AK10" s="1186" t="s">
        <v>207</v>
      </c>
      <c r="AL10" s="1186" t="s">
        <v>208</v>
      </c>
      <c r="AM10" s="1186" t="s">
        <v>209</v>
      </c>
      <c r="AN10" s="1186" t="s">
        <v>210</v>
      </c>
      <c r="AO10" s="1186" t="s">
        <v>211</v>
      </c>
      <c r="AP10" s="1186" t="s">
        <v>212</v>
      </c>
      <c r="AQ10" s="1186" t="s">
        <v>213</v>
      </c>
      <c r="AR10" s="43">
        <v>30</v>
      </c>
    </row>
    <row r="11" spans="1:44" s="1551" customFormat="1" ht="12" hidden="1" customHeight="1">
      <c r="D11" s="1176" t="s">
        <v>177</v>
      </c>
      <c r="E11" s="1176" t="s">
        <v>102</v>
      </c>
      <c r="F11" s="1176"/>
      <c r="G11" s="1176" t="s">
        <v>90</v>
      </c>
      <c r="H11" s="2510" t="s">
        <v>127</v>
      </c>
      <c r="I11" s="2510"/>
      <c r="J11" s="1176" t="s">
        <v>92</v>
      </c>
      <c r="K11" s="1176" t="s">
        <v>93</v>
      </c>
      <c r="L11" s="2510" t="s">
        <v>178</v>
      </c>
      <c r="M11" s="2510"/>
      <c r="N11" s="1176" t="s">
        <v>214</v>
      </c>
      <c r="O11" s="1176" t="s">
        <v>215</v>
      </c>
      <c r="P11" s="2510" t="s">
        <v>216</v>
      </c>
      <c r="Q11" s="2510"/>
      <c r="R11" s="1176" t="s">
        <v>217</v>
      </c>
      <c r="S11" s="1176" t="s">
        <v>216</v>
      </c>
      <c r="T11" s="2510" t="s">
        <v>217</v>
      </c>
      <c r="U11" s="2510"/>
      <c r="V11" s="1176" t="s">
        <v>218</v>
      </c>
      <c r="W11" s="1176" t="s">
        <v>219</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494">
        <v>1</v>
      </c>
      <c r="E13" s="2483" t="s">
        <v>220</v>
      </c>
      <c r="F13" s="2496" t="s">
        <v>19</v>
      </c>
      <c r="G13" s="2483"/>
      <c r="H13" s="2485"/>
      <c r="I13" s="2487"/>
      <c r="J13" s="2489"/>
      <c r="K13" s="2481"/>
      <c r="L13" s="2481"/>
      <c r="M13" s="2481"/>
      <c r="N13" s="2492"/>
      <c r="O13" s="2481"/>
      <c r="P13" s="2481"/>
      <c r="Q13" s="2481"/>
      <c r="R13" s="2479"/>
      <c r="S13" s="2481"/>
      <c r="T13" s="1347"/>
      <c r="U13" s="1347"/>
      <c r="V13" s="1346"/>
      <c r="W13" s="1223"/>
      <c r="Y13" s="1194"/>
      <c r="Z13" s="1194"/>
      <c r="AA13" s="1194"/>
      <c r="AB13" s="1194"/>
      <c r="AC13" s="1194" t="s">
        <v>221</v>
      </c>
      <c r="AD13" s="1194" t="s">
        <v>222</v>
      </c>
      <c r="AE13" s="1194" t="s">
        <v>223</v>
      </c>
      <c r="AF13" s="1194" t="s">
        <v>224</v>
      </c>
      <c r="AG13" s="1194" t="s">
        <v>225</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494"/>
      <c r="E14" s="2483"/>
      <c r="F14" s="2497"/>
      <c r="G14" s="2483"/>
      <c r="H14" s="2486"/>
      <c r="I14" s="2488"/>
      <c r="J14" s="2490"/>
      <c r="K14" s="2482"/>
      <c r="L14" s="2482"/>
      <c r="M14" s="2482"/>
      <c r="N14" s="2493"/>
      <c r="O14" s="2482"/>
      <c r="P14" s="2482"/>
      <c r="Q14" s="2482"/>
      <c r="R14" s="2480"/>
      <c r="S14" s="248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494"/>
      <c r="E15" s="2483"/>
      <c r="F15" s="2497"/>
      <c r="G15" s="2483"/>
      <c r="H15" s="2486"/>
      <c r="I15" s="2488"/>
      <c r="J15" s="2491"/>
      <c r="K15" s="2482"/>
      <c r="L15" s="2482"/>
      <c r="M15" s="2482"/>
      <c r="N15" s="2480"/>
      <c r="O15" s="2482"/>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494"/>
      <c r="E16" s="2483"/>
      <c r="F16" s="2497"/>
      <c r="G16" s="2483"/>
      <c r="H16" s="2486"/>
      <c r="I16" s="2488"/>
      <c r="J16" s="2491"/>
      <c r="K16" s="2482"/>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495"/>
      <c r="E17" s="2484"/>
      <c r="F17" s="2498"/>
      <c r="G17" s="248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494">
        <v>2</v>
      </c>
      <c r="E18" s="2508"/>
      <c r="F18" s="2496" t="s">
        <v>19</v>
      </c>
      <c r="G18" s="2483"/>
      <c r="H18" s="2485"/>
      <c r="I18" s="2487"/>
      <c r="J18" s="2489"/>
      <c r="K18" s="2481"/>
      <c r="L18" s="2481"/>
      <c r="M18" s="2481"/>
      <c r="N18" s="2492"/>
      <c r="O18" s="2481"/>
      <c r="P18" s="2481"/>
      <c r="Q18" s="2481"/>
      <c r="R18" s="2479"/>
      <c r="S18" s="2481"/>
      <c r="T18" s="1347"/>
      <c r="U18" s="1347"/>
      <c r="V18" s="1346"/>
      <c r="W18" s="1223"/>
      <c r="X18" s="1194"/>
      <c r="Y18" s="1194"/>
      <c r="Z18" s="1194"/>
      <c r="AA18" s="1194"/>
      <c r="AB18" s="1194"/>
      <c r="AC18" s="1194" t="s">
        <v>226</v>
      </c>
      <c r="AD18" s="1194" t="s">
        <v>227</v>
      </c>
      <c r="AE18" s="1194" t="s">
        <v>228</v>
      </c>
      <c r="AF18" s="1194" t="s">
        <v>229</v>
      </c>
      <c r="AG18" s="1194" t="s">
        <v>230</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494"/>
      <c r="E19" s="2508"/>
      <c r="F19" s="2497"/>
      <c r="G19" s="2483"/>
      <c r="H19" s="2486"/>
      <c r="I19" s="2488"/>
      <c r="J19" s="2490"/>
      <c r="K19" s="2482"/>
      <c r="L19" s="2482"/>
      <c r="M19" s="2482"/>
      <c r="N19" s="2493"/>
      <c r="O19" s="2482"/>
      <c r="P19" s="2482"/>
      <c r="Q19" s="2482"/>
      <c r="R19" s="2480"/>
      <c r="S19" s="248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495"/>
      <c r="E20" s="2509"/>
      <c r="F20" s="2497"/>
      <c r="G20" s="2484"/>
      <c r="H20" s="2486"/>
      <c r="I20" s="2488"/>
      <c r="J20" s="2491"/>
      <c r="K20" s="2482"/>
      <c r="L20" s="2482"/>
      <c r="M20" s="2482"/>
      <c r="N20" s="2480"/>
      <c r="O20" s="2482"/>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495"/>
      <c r="E21" s="2509"/>
      <c r="F21" s="2497"/>
      <c r="G21" s="2484"/>
      <c r="H21" s="2486"/>
      <c r="I21" s="2488"/>
      <c r="J21" s="2491"/>
      <c r="K21" s="2482"/>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495"/>
      <c r="E22" s="2509"/>
      <c r="F22" s="2498"/>
      <c r="G22" s="248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494">
        <v>2</v>
      </c>
      <c r="E23" s="2483" t="s">
        <v>231</v>
      </c>
      <c r="F23" s="2496" t="s">
        <v>19</v>
      </c>
      <c r="G23" s="2483"/>
      <c r="H23" s="2485"/>
      <c r="I23" s="2487"/>
      <c r="J23" s="2489"/>
      <c r="K23" s="2481"/>
      <c r="L23" s="2481"/>
      <c r="M23" s="2481"/>
      <c r="N23" s="2492"/>
      <c r="O23" s="2481"/>
      <c r="P23" s="2481"/>
      <c r="Q23" s="2481"/>
      <c r="R23" s="2479"/>
      <c r="S23" s="2481"/>
      <c r="T23" s="1921"/>
      <c r="U23" s="1921"/>
      <c r="V23" s="1923"/>
      <c r="W23" s="1223"/>
      <c r="X23" s="1194"/>
      <c r="Y23" s="1194"/>
      <c r="Z23" s="1194"/>
      <c r="AA23" s="1194"/>
      <c r="AB23" s="1194"/>
      <c r="AC23" s="1194" t="s">
        <v>226</v>
      </c>
      <c r="AD23" s="1194" t="s">
        <v>227</v>
      </c>
      <c r="AE23" s="1194" t="s">
        <v>228</v>
      </c>
      <c r="AF23" s="1194" t="s">
        <v>229</v>
      </c>
      <c r="AG23" s="1194" t="s">
        <v>230</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494"/>
      <c r="E24" s="2483"/>
      <c r="F24" s="2497"/>
      <c r="G24" s="2483"/>
      <c r="H24" s="2486"/>
      <c r="I24" s="2488"/>
      <c r="J24" s="2490"/>
      <c r="K24" s="2482"/>
      <c r="L24" s="2482"/>
      <c r="M24" s="2482"/>
      <c r="N24" s="2493"/>
      <c r="O24" s="2482"/>
      <c r="P24" s="2482"/>
      <c r="Q24" s="2482"/>
      <c r="R24" s="2480"/>
      <c r="S24" s="2482"/>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495"/>
      <c r="E25" s="2484"/>
      <c r="F25" s="2497"/>
      <c r="G25" s="2484"/>
      <c r="H25" s="2486"/>
      <c r="I25" s="2488"/>
      <c r="J25" s="2491"/>
      <c r="K25" s="2482"/>
      <c r="L25" s="2482"/>
      <c r="M25" s="2482"/>
      <c r="N25" s="2480"/>
      <c r="O25" s="2482"/>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495"/>
      <c r="E26" s="2484"/>
      <c r="F26" s="2497"/>
      <c r="G26" s="2484"/>
      <c r="H26" s="2486"/>
      <c r="I26" s="2488"/>
      <c r="J26" s="2491"/>
      <c r="K26" s="2482"/>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495"/>
      <c r="E27" s="2484"/>
      <c r="F27" s="2498"/>
      <c r="G27" s="2484"/>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494">
        <v>3</v>
      </c>
      <c r="E28" s="2483" t="s">
        <v>232</v>
      </c>
      <c r="F28" s="2496" t="s">
        <v>19</v>
      </c>
      <c r="G28" s="2483"/>
      <c r="H28" s="2485"/>
      <c r="I28" s="2487"/>
      <c r="J28" s="2489"/>
      <c r="K28" s="2481"/>
      <c r="L28" s="2481"/>
      <c r="M28" s="2481"/>
      <c r="N28" s="2492"/>
      <c r="O28" s="2481"/>
      <c r="P28" s="2481"/>
      <c r="Q28" s="2481"/>
      <c r="R28" s="2479"/>
      <c r="S28" s="2481"/>
      <c r="T28" s="1347"/>
      <c r="U28" s="1347"/>
      <c r="V28" s="1346"/>
      <c r="W28" s="1223"/>
      <c r="X28" s="1194"/>
      <c r="Y28" s="1194"/>
      <c r="Z28" s="1194"/>
      <c r="AA28" s="1194"/>
      <c r="AB28" s="1194"/>
      <c r="AC28" s="1194" t="s">
        <v>233</v>
      </c>
      <c r="AD28" s="1194" t="s">
        <v>234</v>
      </c>
      <c r="AE28" s="1194" t="s">
        <v>235</v>
      </c>
      <c r="AF28" s="1194" t="s">
        <v>236</v>
      </c>
      <c r="AG28" s="1194" t="s">
        <v>237</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494"/>
      <c r="E29" s="2483"/>
      <c r="F29" s="2497"/>
      <c r="G29" s="2483"/>
      <c r="H29" s="2486"/>
      <c r="I29" s="2488"/>
      <c r="J29" s="2490"/>
      <c r="K29" s="2482"/>
      <c r="L29" s="2482"/>
      <c r="M29" s="2482"/>
      <c r="N29" s="2493"/>
      <c r="O29" s="2482"/>
      <c r="P29" s="2482"/>
      <c r="Q29" s="2482"/>
      <c r="R29" s="2480"/>
      <c r="S29" s="248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495"/>
      <c r="E30" s="2484"/>
      <c r="F30" s="2497"/>
      <c r="G30" s="2484"/>
      <c r="H30" s="2486"/>
      <c r="I30" s="2488"/>
      <c r="J30" s="2491"/>
      <c r="K30" s="2482"/>
      <c r="L30" s="2482"/>
      <c r="M30" s="2482"/>
      <c r="N30" s="2480"/>
      <c r="O30" s="2482"/>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495"/>
      <c r="E31" s="2484"/>
      <c r="F31" s="2497"/>
      <c r="G31" s="2484"/>
      <c r="H31" s="2486"/>
      <c r="I31" s="2488"/>
      <c r="J31" s="2491"/>
      <c r="K31" s="2482"/>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495"/>
      <c r="E32" s="2484"/>
      <c r="F32" s="2498"/>
      <c r="G32" s="248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494">
        <v>4</v>
      </c>
      <c r="E33" s="2483" t="s">
        <v>238</v>
      </c>
      <c r="F33" s="2496" t="s">
        <v>19</v>
      </c>
      <c r="G33" s="2483"/>
      <c r="H33" s="2485"/>
      <c r="I33" s="2487"/>
      <c r="J33" s="2489"/>
      <c r="K33" s="2481"/>
      <c r="L33" s="2481"/>
      <c r="M33" s="2481"/>
      <c r="N33" s="2492"/>
      <c r="O33" s="2481"/>
      <c r="P33" s="2481"/>
      <c r="Q33" s="2481"/>
      <c r="R33" s="2479"/>
      <c r="S33" s="2481"/>
      <c r="T33" s="1347"/>
      <c r="U33" s="1347"/>
      <c r="V33" s="1346"/>
      <c r="W33" s="1223"/>
      <c r="X33" s="1194"/>
      <c r="Y33" s="1194"/>
      <c r="Z33" s="1194"/>
      <c r="AA33" s="1194"/>
      <c r="AB33" s="1194"/>
      <c r="AC33" s="1194" t="s">
        <v>239</v>
      </c>
      <c r="AD33" s="1194" t="s">
        <v>240</v>
      </c>
      <c r="AE33" s="1194" t="s">
        <v>241</v>
      </c>
      <c r="AF33" s="1194" t="s">
        <v>242</v>
      </c>
      <c r="AG33" s="1194" t="s">
        <v>243</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494"/>
      <c r="E34" s="2483"/>
      <c r="F34" s="2497"/>
      <c r="G34" s="2483"/>
      <c r="H34" s="2486"/>
      <c r="I34" s="2488"/>
      <c r="J34" s="2490"/>
      <c r="K34" s="2482"/>
      <c r="L34" s="2482"/>
      <c r="M34" s="2482"/>
      <c r="N34" s="2493"/>
      <c r="O34" s="2482"/>
      <c r="P34" s="2482"/>
      <c r="Q34" s="2482"/>
      <c r="R34" s="2480"/>
      <c r="S34" s="248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495"/>
      <c r="E35" s="2484"/>
      <c r="F35" s="2497"/>
      <c r="G35" s="2484"/>
      <c r="H35" s="2486"/>
      <c r="I35" s="2488"/>
      <c r="J35" s="2491"/>
      <c r="K35" s="2482"/>
      <c r="L35" s="2482"/>
      <c r="M35" s="2482"/>
      <c r="N35" s="2480"/>
      <c r="O35" s="2482"/>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495"/>
      <c r="E36" s="2484"/>
      <c r="F36" s="2497"/>
      <c r="G36" s="2484"/>
      <c r="H36" s="2486"/>
      <c r="I36" s="2488"/>
      <c r="J36" s="2491"/>
      <c r="K36" s="2482"/>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495"/>
      <c r="E37" s="2484"/>
      <c r="F37" s="2498"/>
      <c r="G37" s="248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494">
        <v>5</v>
      </c>
      <c r="E38" s="2483" t="s">
        <v>244</v>
      </c>
      <c r="F38" s="2496" t="s">
        <v>19</v>
      </c>
      <c r="G38" s="2483"/>
      <c r="H38" s="2485"/>
      <c r="I38" s="2487"/>
      <c r="J38" s="2489"/>
      <c r="K38" s="2481"/>
      <c r="L38" s="2481"/>
      <c r="M38" s="2481"/>
      <c r="N38" s="2492"/>
      <c r="O38" s="2481"/>
      <c r="P38" s="2481"/>
      <c r="Q38" s="2481"/>
      <c r="R38" s="2479"/>
      <c r="S38" s="2481"/>
      <c r="T38" s="1347"/>
      <c r="U38" s="1347"/>
      <c r="V38" s="1346"/>
      <c r="W38" s="1223"/>
      <c r="X38" s="1194"/>
      <c r="Y38" s="1194"/>
      <c r="Z38" s="1194"/>
      <c r="AA38" s="1194"/>
      <c r="AB38" s="1194"/>
      <c r="AC38" s="1194" t="s">
        <v>245</v>
      </c>
      <c r="AD38" s="1194" t="s">
        <v>246</v>
      </c>
      <c r="AE38" s="1194" t="s">
        <v>247</v>
      </c>
      <c r="AF38" s="1194" t="s">
        <v>248</v>
      </c>
      <c r="AG38" s="1194" t="s">
        <v>249</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494"/>
      <c r="E39" s="2483"/>
      <c r="F39" s="2497"/>
      <c r="G39" s="2483"/>
      <c r="H39" s="2486"/>
      <c r="I39" s="2488"/>
      <c r="J39" s="2490"/>
      <c r="K39" s="2482"/>
      <c r="L39" s="2482"/>
      <c r="M39" s="2482"/>
      <c r="N39" s="2493"/>
      <c r="O39" s="2482"/>
      <c r="P39" s="2482"/>
      <c r="Q39" s="2482"/>
      <c r="R39" s="2480"/>
      <c r="S39" s="248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495"/>
      <c r="E40" s="2484"/>
      <c r="F40" s="2497"/>
      <c r="G40" s="2484"/>
      <c r="H40" s="2486"/>
      <c r="I40" s="2488"/>
      <c r="J40" s="2491"/>
      <c r="K40" s="2482"/>
      <c r="L40" s="2482"/>
      <c r="M40" s="2482"/>
      <c r="N40" s="2480"/>
      <c r="O40" s="2482"/>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495"/>
      <c r="E41" s="2484"/>
      <c r="F41" s="2497"/>
      <c r="G41" s="2484"/>
      <c r="H41" s="2486"/>
      <c r="I41" s="2488"/>
      <c r="J41" s="2491"/>
      <c r="K41" s="2482"/>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495"/>
      <c r="E42" s="2484"/>
      <c r="F42" s="2498"/>
      <c r="G42" s="248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494">
        <v>6</v>
      </c>
      <c r="E43" s="2483" t="s">
        <v>250</v>
      </c>
      <c r="F43" s="2496" t="s">
        <v>19</v>
      </c>
      <c r="G43" s="2483"/>
      <c r="H43" s="2485"/>
      <c r="I43" s="2487"/>
      <c r="J43" s="2489"/>
      <c r="K43" s="2481"/>
      <c r="L43" s="2481"/>
      <c r="M43" s="2481"/>
      <c r="N43" s="2492"/>
      <c r="O43" s="2481"/>
      <c r="P43" s="2481"/>
      <c r="Q43" s="2481"/>
      <c r="R43" s="2479"/>
      <c r="S43" s="2481"/>
      <c r="T43" s="1347"/>
      <c r="U43" s="1347"/>
      <c r="V43" s="1346"/>
      <c r="W43" s="1223"/>
      <c r="X43" s="1194"/>
      <c r="Y43" s="1194"/>
      <c r="Z43" s="1194"/>
      <c r="AA43" s="1194"/>
      <c r="AB43" s="1194"/>
      <c r="AC43" s="1194" t="s">
        <v>251</v>
      </c>
      <c r="AD43" s="1194" t="s">
        <v>252</v>
      </c>
      <c r="AE43" s="1194" t="s">
        <v>253</v>
      </c>
      <c r="AF43" s="1194" t="s">
        <v>254</v>
      </c>
      <c r="AG43" s="1194" t="s">
        <v>255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494"/>
      <c r="E44" s="2483"/>
      <c r="F44" s="2497"/>
      <c r="G44" s="2483"/>
      <c r="H44" s="2486"/>
      <c r="I44" s="2488"/>
      <c r="J44" s="2490"/>
      <c r="K44" s="2482"/>
      <c r="L44" s="2482"/>
      <c r="M44" s="2482"/>
      <c r="N44" s="2493"/>
      <c r="O44" s="2482"/>
      <c r="P44" s="2482"/>
      <c r="Q44" s="2482"/>
      <c r="R44" s="2480"/>
      <c r="S44" s="248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495"/>
      <c r="E45" s="2484"/>
      <c r="F45" s="2497"/>
      <c r="G45" s="2484"/>
      <c r="H45" s="2486"/>
      <c r="I45" s="2488"/>
      <c r="J45" s="2491"/>
      <c r="K45" s="2482"/>
      <c r="L45" s="2482"/>
      <c r="M45" s="2482"/>
      <c r="N45" s="2480"/>
      <c r="O45" s="2482"/>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495"/>
      <c r="E46" s="2484"/>
      <c r="F46" s="2497"/>
      <c r="G46" s="2484"/>
      <c r="H46" s="2486"/>
      <c r="I46" s="2488"/>
      <c r="J46" s="2491"/>
      <c r="K46" s="2482"/>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495"/>
      <c r="E47" s="2484"/>
      <c r="F47" s="2498"/>
      <c r="G47" s="248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502">
        <v>7</v>
      </c>
      <c r="E48" s="2505" t="s">
        <v>256</v>
      </c>
      <c r="F48" s="2496" t="s">
        <v>19</v>
      </c>
      <c r="G48" s="2505"/>
      <c r="H48" s="2485"/>
      <c r="I48" s="2487"/>
      <c r="J48" s="2489"/>
      <c r="K48" s="2481"/>
      <c r="L48" s="2481"/>
      <c r="M48" s="2481"/>
      <c r="N48" s="2492"/>
      <c r="O48" s="2481"/>
      <c r="P48" s="2481"/>
      <c r="Q48" s="2481"/>
      <c r="R48" s="2479"/>
      <c r="S48" s="2481"/>
      <c r="T48" s="1347"/>
      <c r="U48" s="1347"/>
      <c r="V48" s="1346"/>
      <c r="W48" s="1223"/>
      <c r="X48" s="1194"/>
      <c r="Y48" s="1194"/>
      <c r="Z48" s="1194"/>
      <c r="AA48" s="1194"/>
      <c r="AB48" s="1194"/>
      <c r="AC48" s="1194" t="s">
        <v>257</v>
      </c>
      <c r="AD48" s="1194" t="s">
        <v>258</v>
      </c>
      <c r="AE48" s="1194" t="s">
        <v>259</v>
      </c>
      <c r="AF48" s="1194" t="s">
        <v>260</v>
      </c>
      <c r="AG48" s="1194" t="s">
        <v>261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503"/>
      <c r="E49" s="2506"/>
      <c r="F49" s="2497"/>
      <c r="G49" s="2506"/>
      <c r="H49" s="2486"/>
      <c r="I49" s="2488"/>
      <c r="J49" s="2490"/>
      <c r="K49" s="2482"/>
      <c r="L49" s="2482"/>
      <c r="M49" s="2482"/>
      <c r="N49" s="2493"/>
      <c r="O49" s="2482"/>
      <c r="P49" s="2482"/>
      <c r="Q49" s="2482"/>
      <c r="R49" s="2480"/>
      <c r="S49" s="248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503"/>
      <c r="E50" s="2506"/>
      <c r="F50" s="2497"/>
      <c r="G50" s="2506"/>
      <c r="H50" s="2486"/>
      <c r="I50" s="2488"/>
      <c r="J50" s="2491"/>
      <c r="K50" s="2482"/>
      <c r="L50" s="2482"/>
      <c r="M50" s="2482"/>
      <c r="N50" s="2480"/>
      <c r="O50" s="2482"/>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503"/>
      <c r="E51" s="2506"/>
      <c r="F51" s="2497"/>
      <c r="G51" s="2506"/>
      <c r="H51" s="2486"/>
      <c r="I51" s="2488"/>
      <c r="J51" s="2491"/>
      <c r="K51" s="2482"/>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504"/>
      <c r="E52" s="2507"/>
      <c r="F52" s="2498"/>
      <c r="G52" s="250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494">
        <v>8</v>
      </c>
      <c r="E53" s="2483" t="s">
        <v>262</v>
      </c>
      <c r="F53" s="2496" t="s">
        <v>19</v>
      </c>
      <c r="G53" s="2483"/>
      <c r="H53" s="2485"/>
      <c r="I53" s="2487"/>
      <c r="J53" s="2489"/>
      <c r="K53" s="2481"/>
      <c r="L53" s="2481"/>
      <c r="M53" s="2481"/>
      <c r="N53" s="2492"/>
      <c r="O53" s="2481"/>
      <c r="P53" s="2481"/>
      <c r="Q53" s="2481"/>
      <c r="R53" s="2479"/>
      <c r="S53" s="2481"/>
      <c r="T53" s="1397"/>
      <c r="U53" s="1397"/>
      <c r="V53" s="1399"/>
      <c r="W53" s="1223"/>
      <c r="X53" s="1194"/>
      <c r="Y53" s="1194"/>
      <c r="Z53" s="1194"/>
      <c r="AA53" s="1194"/>
      <c r="AB53" s="1194"/>
      <c r="AC53" s="1194" t="s">
        <v>263</v>
      </c>
      <c r="AD53" s="1194" t="s">
        <v>264</v>
      </c>
      <c r="AE53" s="1194" t="s">
        <v>265</v>
      </c>
      <c r="AF53" s="1194" t="s">
        <v>266</v>
      </c>
      <c r="AG53" s="1194" t="s">
        <v>267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494"/>
      <c r="E54" s="2483"/>
      <c r="F54" s="2497"/>
      <c r="G54" s="2483"/>
      <c r="H54" s="2486"/>
      <c r="I54" s="2488"/>
      <c r="J54" s="2490"/>
      <c r="K54" s="2482"/>
      <c r="L54" s="2482"/>
      <c r="M54" s="2482"/>
      <c r="N54" s="2493"/>
      <c r="O54" s="2482"/>
      <c r="P54" s="2482"/>
      <c r="Q54" s="2482"/>
      <c r="R54" s="2480"/>
      <c r="S54" s="248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495"/>
      <c r="E55" s="2484"/>
      <c r="F55" s="2497"/>
      <c r="G55" s="2484"/>
      <c r="H55" s="2486"/>
      <c r="I55" s="2488"/>
      <c r="J55" s="2491"/>
      <c r="K55" s="2482"/>
      <c r="L55" s="2482"/>
      <c r="M55" s="2482"/>
      <c r="N55" s="2480"/>
      <c r="O55" s="2482"/>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495"/>
      <c r="E56" s="2484"/>
      <c r="F56" s="2497"/>
      <c r="G56" s="2484"/>
      <c r="H56" s="2486"/>
      <c r="I56" s="2488"/>
      <c r="J56" s="2491"/>
      <c r="K56" s="2482"/>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495"/>
      <c r="E57" s="2484"/>
      <c r="F57" s="2498"/>
      <c r="G57" s="248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494">
        <v>9</v>
      </c>
      <c r="E58" s="2483" t="s">
        <v>268</v>
      </c>
      <c r="F58" s="2496" t="s">
        <v>19</v>
      </c>
      <c r="G58" s="2483"/>
      <c r="H58" s="2485"/>
      <c r="I58" s="2487"/>
      <c r="J58" s="2489"/>
      <c r="K58" s="2481"/>
      <c r="L58" s="2481"/>
      <c r="M58" s="2481"/>
      <c r="N58" s="2492"/>
      <c r="O58" s="2481"/>
      <c r="P58" s="2481"/>
      <c r="Q58" s="2481"/>
      <c r="R58" s="2479"/>
      <c r="S58" s="2481"/>
      <c r="T58" s="1854"/>
      <c r="U58" s="1854"/>
      <c r="V58" s="1856"/>
      <c r="W58" s="1223"/>
      <c r="X58" s="1194"/>
      <c r="Y58" s="1194"/>
      <c r="Z58" s="1194"/>
      <c r="AA58" s="1194"/>
      <c r="AB58" s="1194"/>
      <c r="AC58" s="1194" t="s">
        <v>269</v>
      </c>
      <c r="AD58" s="1194" t="s">
        <v>270</v>
      </c>
      <c r="AE58" s="1194" t="s">
        <v>271</v>
      </c>
      <c r="AF58" s="1194" t="s">
        <v>272</v>
      </c>
      <c r="AG58" s="1194" t="s">
        <v>273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494"/>
      <c r="E59" s="2483"/>
      <c r="F59" s="2497"/>
      <c r="G59" s="2483"/>
      <c r="H59" s="2486"/>
      <c r="I59" s="2488"/>
      <c r="J59" s="2490"/>
      <c r="K59" s="2482"/>
      <c r="L59" s="2482"/>
      <c r="M59" s="2482"/>
      <c r="N59" s="2493"/>
      <c r="O59" s="2482"/>
      <c r="P59" s="2482"/>
      <c r="Q59" s="2482"/>
      <c r="R59" s="2480"/>
      <c r="S59" s="2482"/>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495"/>
      <c r="E60" s="2484"/>
      <c r="F60" s="2497"/>
      <c r="G60" s="2484"/>
      <c r="H60" s="2486"/>
      <c r="I60" s="2488"/>
      <c r="J60" s="2491"/>
      <c r="K60" s="2482"/>
      <c r="L60" s="2482"/>
      <c r="M60" s="2482"/>
      <c r="N60" s="2480"/>
      <c r="O60" s="2482"/>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495"/>
      <c r="E61" s="2484"/>
      <c r="F61" s="2497"/>
      <c r="G61" s="2484"/>
      <c r="H61" s="2486"/>
      <c r="I61" s="2488"/>
      <c r="J61" s="2491"/>
      <c r="K61" s="2482"/>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495"/>
      <c r="E62" s="2484"/>
      <c r="F62" s="2498"/>
      <c r="G62" s="2484"/>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494">
        <v>10</v>
      </c>
      <c r="E63" s="2483" t="s">
        <v>274</v>
      </c>
      <c r="F63" s="2496" t="s">
        <v>19</v>
      </c>
      <c r="G63" s="2483"/>
      <c r="H63" s="2485"/>
      <c r="I63" s="2487"/>
      <c r="J63" s="2489"/>
      <c r="K63" s="2481"/>
      <c r="L63" s="2481"/>
      <c r="M63" s="2481"/>
      <c r="N63" s="2492"/>
      <c r="O63" s="2481"/>
      <c r="P63" s="2481"/>
      <c r="Q63" s="2481"/>
      <c r="R63" s="2479"/>
      <c r="S63" s="2481"/>
      <c r="T63" s="1854"/>
      <c r="U63" s="1854"/>
      <c r="V63" s="1856"/>
      <c r="W63" s="1223"/>
      <c r="X63" s="1194"/>
      <c r="Y63" s="1194"/>
      <c r="Z63" s="1194"/>
      <c r="AA63" s="1194"/>
      <c r="AB63" s="1194"/>
      <c r="AC63" s="1194" t="s">
        <v>275</v>
      </c>
      <c r="AD63" s="1194" t="s">
        <v>276</v>
      </c>
      <c r="AE63" s="1194" t="s">
        <v>277</v>
      </c>
      <c r="AF63" s="1194" t="s">
        <v>278</v>
      </c>
      <c r="AG63" s="1194" t="s">
        <v>279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494"/>
      <c r="E64" s="2483"/>
      <c r="F64" s="2497"/>
      <c r="G64" s="2483"/>
      <c r="H64" s="2486"/>
      <c r="I64" s="2488"/>
      <c r="J64" s="2490"/>
      <c r="K64" s="2482"/>
      <c r="L64" s="2482"/>
      <c r="M64" s="2482"/>
      <c r="N64" s="2493"/>
      <c r="O64" s="2482"/>
      <c r="P64" s="2482"/>
      <c r="Q64" s="2482"/>
      <c r="R64" s="2480"/>
      <c r="S64" s="2482"/>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495"/>
      <c r="E65" s="2484"/>
      <c r="F65" s="2497"/>
      <c r="G65" s="2484"/>
      <c r="H65" s="2486"/>
      <c r="I65" s="2488"/>
      <c r="J65" s="2491"/>
      <c r="K65" s="2482"/>
      <c r="L65" s="2482"/>
      <c r="M65" s="2482"/>
      <c r="N65" s="2480"/>
      <c r="O65" s="2482"/>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495"/>
      <c r="E66" s="2484"/>
      <c r="F66" s="2497"/>
      <c r="G66" s="2484"/>
      <c r="H66" s="2486"/>
      <c r="I66" s="2488"/>
      <c r="J66" s="2491"/>
      <c r="K66" s="2482"/>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495"/>
      <c r="E67" s="2484"/>
      <c r="F67" s="2498"/>
      <c r="G67" s="2484"/>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501" t="s">
        <v>280</v>
      </c>
      <c r="F69" s="2501"/>
      <c r="G69" s="2501"/>
      <c r="H69" s="2501"/>
      <c r="I69" s="2501"/>
      <c r="J69" s="2501"/>
      <c r="K69" s="2501"/>
      <c r="L69" s="2501"/>
      <c r="M69" s="2501"/>
      <c r="N69" s="2501"/>
      <c r="O69" s="2501"/>
      <c r="P69" s="2501"/>
      <c r="Q69" s="2501"/>
      <c r="R69" s="2501"/>
      <c r="S69" s="2501"/>
      <c r="T69" s="2501"/>
      <c r="U69" s="2501"/>
      <c r="V69" s="2501"/>
      <c r="W69" s="2501"/>
      <c r="AR69" s="43">
        <v>0</v>
      </c>
    </row>
    <row r="70" spans="1:44" ht="36.75" hidden="1" customHeight="1">
      <c r="E70" s="2499" t="s">
        <v>281</v>
      </c>
      <c r="F70" s="2499"/>
      <c r="G70" s="2500"/>
      <c r="H70" s="2500"/>
      <c r="I70" s="2500"/>
      <c r="J70" s="2500"/>
      <c r="K70" s="2500"/>
      <c r="L70" s="2500"/>
      <c r="M70" s="2500"/>
      <c r="N70" s="2500"/>
      <c r="O70" s="2500"/>
      <c r="P70" s="2500"/>
      <c r="Q70" s="2500"/>
      <c r="R70" s="2500"/>
      <c r="S70" s="2500"/>
      <c r="T70" s="2500"/>
      <c r="U70" s="2500"/>
      <c r="V70" s="2500"/>
      <c r="W70" s="2500"/>
      <c r="AR70" s="43">
        <v>0</v>
      </c>
    </row>
    <row r="71" spans="1:44" ht="28.5" hidden="1" customHeight="1">
      <c r="E71" s="2499" t="s">
        <v>282</v>
      </c>
      <c r="F71" s="2499"/>
      <c r="G71" s="2500"/>
      <c r="H71" s="2500"/>
      <c r="I71" s="2500"/>
      <c r="J71" s="2500"/>
      <c r="K71" s="2500"/>
      <c r="L71" s="2500"/>
      <c r="M71" s="2500"/>
      <c r="N71" s="2500"/>
      <c r="O71" s="2500"/>
      <c r="P71" s="2500"/>
      <c r="Q71" s="2500"/>
      <c r="R71" s="2500"/>
      <c r="S71" s="2500"/>
      <c r="T71" s="2500"/>
      <c r="U71" s="2500"/>
      <c r="V71" s="2500"/>
      <c r="W71" s="2500"/>
      <c r="AR71" s="43">
        <v>0</v>
      </c>
    </row>
    <row r="72" spans="1:44" ht="27" hidden="1" customHeight="1">
      <c r="E72" s="2499" t="s">
        <v>283</v>
      </c>
      <c r="F72" s="2499"/>
      <c r="G72" s="2500"/>
      <c r="H72" s="2500"/>
      <c r="I72" s="2500"/>
      <c r="J72" s="2500"/>
      <c r="K72" s="2500"/>
      <c r="L72" s="2500"/>
      <c r="M72" s="2500"/>
      <c r="N72" s="2500"/>
      <c r="O72" s="2500"/>
      <c r="P72" s="2500"/>
      <c r="Q72" s="2500"/>
      <c r="R72" s="2500"/>
      <c r="S72" s="2500"/>
      <c r="T72" s="2500"/>
      <c r="U72" s="2500"/>
      <c r="V72" s="2500"/>
      <c r="W72" s="2500"/>
      <c r="AR72" s="43">
        <v>0</v>
      </c>
    </row>
    <row r="73" spans="1:44" ht="17.25" hidden="1" customHeight="1">
      <c r="E73" s="2499" t="s">
        <v>284</v>
      </c>
      <c r="F73" s="2499"/>
      <c r="G73" s="2500"/>
      <c r="H73" s="2500"/>
      <c r="I73" s="2500"/>
      <c r="J73" s="2500"/>
      <c r="K73" s="2500"/>
      <c r="L73" s="2500"/>
      <c r="M73" s="2500"/>
      <c r="N73" s="2500"/>
      <c r="O73" s="2500"/>
      <c r="P73" s="2500"/>
      <c r="Q73" s="2500"/>
      <c r="R73" s="2500"/>
      <c r="S73" s="2500"/>
      <c r="T73" s="2500"/>
      <c r="U73" s="2500"/>
      <c r="V73" s="2500"/>
      <c r="W73" s="2500"/>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501" t="s">
        <v>285</v>
      </c>
      <c r="F75" s="2501"/>
      <c r="G75" s="2501"/>
      <c r="H75" s="2501"/>
      <c r="I75" s="2501"/>
      <c r="J75" s="2501"/>
      <c r="K75" s="2501"/>
      <c r="L75" s="2501"/>
      <c r="M75" s="2501"/>
      <c r="N75" s="2501"/>
      <c r="O75" s="2501"/>
      <c r="P75" s="2501"/>
      <c r="Q75" s="2501"/>
      <c r="R75" s="2501"/>
      <c r="S75" s="2501"/>
      <c r="T75" s="2501"/>
      <c r="U75" s="2501"/>
      <c r="V75" s="2501"/>
      <c r="W75" s="2501"/>
      <c r="AR75" s="43">
        <v>0</v>
      </c>
    </row>
    <row r="76" spans="1:44" ht="17.25" hidden="1" customHeight="1">
      <c r="E76" s="2499" t="s">
        <v>286</v>
      </c>
      <c r="F76" s="2499"/>
      <c r="G76" s="2500"/>
      <c r="H76" s="2500"/>
      <c r="I76" s="2500"/>
      <c r="J76" s="2500"/>
      <c r="K76" s="2500"/>
      <c r="L76" s="2500"/>
      <c r="M76" s="2500"/>
      <c r="N76" s="2500"/>
      <c r="O76" s="2500"/>
      <c r="P76" s="2500"/>
      <c r="Q76" s="2500"/>
      <c r="R76" s="2500"/>
      <c r="S76" s="2500"/>
      <c r="T76" s="2500"/>
      <c r="U76" s="2500"/>
      <c r="V76" s="2500"/>
      <c r="W76" s="2500"/>
      <c r="AR76" s="43">
        <v>0</v>
      </c>
    </row>
    <row r="77" spans="1:44" ht="17.25" hidden="1" customHeight="1">
      <c r="E77" s="2499" t="s">
        <v>287</v>
      </c>
      <c r="F77" s="2499"/>
      <c r="G77" s="2500"/>
      <c r="H77" s="2500"/>
      <c r="I77" s="2500"/>
      <c r="J77" s="2500"/>
      <c r="K77" s="2500"/>
      <c r="L77" s="2500"/>
      <c r="M77" s="2500"/>
      <c r="N77" s="2500"/>
      <c r="O77" s="2500"/>
      <c r="P77" s="2500"/>
      <c r="Q77" s="2500"/>
      <c r="R77" s="2500"/>
      <c r="S77" s="2500"/>
      <c r="T77" s="2500"/>
      <c r="U77" s="2500"/>
      <c r="V77" s="2500"/>
      <c r="W77" s="2500"/>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customHeight="1">
      <c r="A79" s="258"/>
      <c r="C79" s="146"/>
      <c r="D79" s="2494">
        <v>1</v>
      </c>
      <c r="E79" s="2483" t="s">
        <v>288</v>
      </c>
      <c r="F79" s="2496" t="s">
        <v>66</v>
      </c>
      <c r="G79" s="2521" t="str">
        <f>INDEX(VD_NAME_LIST,MATCH("4189671",VD_ID_LIST,0))</f>
        <v>Холодное водоснабжение. Питьевая вода</v>
      </c>
      <c r="H79" s="2527"/>
      <c r="I79" s="2527">
        <v>1</v>
      </c>
      <c r="J79" s="2528" t="s">
        <v>289</v>
      </c>
      <c r="K79" s="2531" t="s">
        <v>66</v>
      </c>
      <c r="L79" s="2472"/>
      <c r="M79" s="2472" t="s">
        <v>177</v>
      </c>
      <c r="N79" s="2524" t="str">
        <f>IF(Z79="","",INDEX(TERRITORY_MR_LIST,MATCH(Z79,TERRITORY_LIST_ID,0)))</f>
        <v>Территория 1</v>
      </c>
      <c r="O79" s="2531" t="s">
        <v>19</v>
      </c>
      <c r="P79" s="2472"/>
      <c r="Q79" s="2472" t="s">
        <v>177</v>
      </c>
      <c r="R79" s="2533" t="s">
        <v>28</v>
      </c>
      <c r="S79" s="2526" t="s">
        <v>19</v>
      </c>
      <c r="T79" s="2018"/>
      <c r="U79" s="2018" t="s">
        <v>177</v>
      </c>
      <c r="V79" s="1361"/>
      <c r="W79" s="2528"/>
      <c r="Y79" s="1194"/>
      <c r="Z79" s="1194" t="s">
        <v>98</v>
      </c>
      <c r="AA79" s="1194"/>
      <c r="AB79" s="1194" t="s">
        <v>290</v>
      </c>
      <c r="AC79" s="1194" t="s">
        <v>291</v>
      </c>
      <c r="AD79" s="1194" t="s">
        <v>292</v>
      </c>
      <c r="AE79" s="1194" t="s">
        <v>293</v>
      </c>
      <c r="AF79" s="1194" t="s">
        <v>294</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холодное водоснабжение (питьевая)</v>
      </c>
      <c r="AK79" s="1194" t="str">
        <f>IF($K$79="нет","без дифференциации",IF($N$79=0,"",$N$79))</f>
        <v>Территория 1</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9" customFormat="1" ht="17.25" customHeight="1">
      <c r="A80" s="258"/>
      <c r="C80" s="257"/>
      <c r="D80" s="2494"/>
      <c r="E80" s="2483"/>
      <c r="F80" s="2497"/>
      <c r="G80" s="2521"/>
      <c r="H80" s="2527"/>
      <c r="I80" s="2527"/>
      <c r="J80" s="2528"/>
      <c r="K80" s="2532"/>
      <c r="L80" s="2472"/>
      <c r="M80" s="2472"/>
      <c r="N80" s="2524"/>
      <c r="O80" s="2532"/>
      <c r="P80" s="2472"/>
      <c r="Q80" s="2472"/>
      <c r="R80" s="2533" t="s">
        <v>28</v>
      </c>
      <c r="S80" s="2526"/>
      <c r="T80" s="1362"/>
      <c r="U80" s="1363"/>
      <c r="V80" s="1363"/>
      <c r="W80" s="2528"/>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customHeight="1">
      <c r="A81" s="258"/>
      <c r="C81" s="146"/>
      <c r="D81" s="2494"/>
      <c r="E81" s="2483"/>
      <c r="F81" s="2497"/>
      <c r="G81" s="2521"/>
      <c r="H81" s="2495"/>
      <c r="I81" s="2495"/>
      <c r="J81" s="2529"/>
      <c r="K81" s="2532"/>
      <c r="L81" s="2495"/>
      <c r="M81" s="2495"/>
      <c r="N81" s="2525"/>
      <c r="O81" s="2476"/>
      <c r="P81" s="2036"/>
      <c r="Q81" s="2037"/>
      <c r="R81" s="2038" t="s">
        <v>295</v>
      </c>
      <c r="S81" s="2039"/>
      <c r="T81" s="2040"/>
      <c r="U81" s="2041"/>
      <c r="V81" s="2042"/>
      <c r="W81" s="2043"/>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ht="17.25" customHeight="1">
      <c r="A82" s="1766"/>
      <c r="B82" s="1779"/>
      <c r="C82" s="1768"/>
      <c r="D82" s="2519"/>
      <c r="E82" s="2520"/>
      <c r="F82" s="2497"/>
      <c r="G82" s="2523"/>
      <c r="H82" s="2519"/>
      <c r="I82" s="2519"/>
      <c r="J82" s="2530"/>
      <c r="K82" s="2523"/>
      <c r="L82" s="2472" t="s">
        <v>103</v>
      </c>
      <c r="M82" s="2472" t="s">
        <v>102</v>
      </c>
      <c r="N82" s="2524" t="str">
        <f>IF(Z82="","",INDEX(TERRITORY_MR_LIST,MATCH(Z82,TERRITORY_LIST_ID,0)))</f>
        <v>Территория 3</v>
      </c>
      <c r="O82" s="2531" t="s">
        <v>19</v>
      </c>
      <c r="P82" s="2472"/>
      <c r="Q82" s="2472" t="s">
        <v>177</v>
      </c>
      <c r="R82" s="2533" t="s">
        <v>28</v>
      </c>
      <c r="S82" s="2526" t="s">
        <v>19</v>
      </c>
      <c r="T82" s="1729"/>
      <c r="U82" s="1729" t="s">
        <v>177</v>
      </c>
      <c r="V82" s="1361"/>
      <c r="W82" s="2528"/>
      <c r="Y82" s="1194"/>
      <c r="Z82" s="1194" t="s">
        <v>131</v>
      </c>
      <c r="AA82" s="1194"/>
      <c r="AB82" s="1194"/>
      <c r="AC82" s="1897" t="s">
        <v>291</v>
      </c>
      <c r="AD82" s="1897" t="s">
        <v>292</v>
      </c>
      <c r="AE82" s="1194" t="s">
        <v>296</v>
      </c>
      <c r="AF82" s="1194" t="s">
        <v>297</v>
      </c>
      <c r="AG82" s="1194" t="s">
        <v>298</v>
      </c>
      <c r="AH82" s="1194" t="str">
        <f>IF($E$79=0,"",$E$79)</f>
        <v>Тариф на питьевую воду (питьевое водоснабжение)</v>
      </c>
      <c r="AI82" s="1194" t="str">
        <f>IF($G$79=0,"",$G$79)</f>
        <v>Холодное водоснабжение. Питьевая вода</v>
      </c>
      <c r="AJ82" s="1194" t="str">
        <f>IF($J$79=0,"",$J$79)</f>
        <v>Тариф на холодное водоснабжение (питьевая)</v>
      </c>
      <c r="AK82" s="1194" t="str">
        <f>IF($K$82="нет","без дифференциации",IF($N$82=0,"",$N$82))</f>
        <v>Территория 3</v>
      </c>
      <c r="AL82" s="1770" t="str">
        <f>IF($O$82="нет","без дифференциации",IF($R$82=0,"",$R$82))</f>
        <v>без дифференциации</v>
      </c>
      <c r="AM82" s="1770"/>
      <c r="AN82" s="1194">
        <f>$I$79</f>
        <v>1</v>
      </c>
      <c r="AO82" s="1194" t="str">
        <f>$I$79&amp;"."&amp;$M$82</f>
        <v>1.2</v>
      </c>
      <c r="AP82" s="1194" t="str">
        <f>$I$79&amp;"."&amp;$M$82&amp;"."&amp;$Q$82</f>
        <v>1.2.1</v>
      </c>
      <c r="AQ82" s="1194"/>
    </row>
    <row r="83" spans="1:44" ht="17.25" customHeight="1">
      <c r="A83" s="1766"/>
      <c r="B83" s="1779"/>
      <c r="C83" s="1771"/>
      <c r="D83" s="2519"/>
      <c r="E83" s="2520"/>
      <c r="F83" s="2497"/>
      <c r="G83" s="2523"/>
      <c r="H83" s="2519"/>
      <c r="I83" s="2519"/>
      <c r="J83" s="2530"/>
      <c r="K83" s="2523"/>
      <c r="L83" s="2472"/>
      <c r="M83" s="2472"/>
      <c r="N83" s="2524"/>
      <c r="O83" s="2532"/>
      <c r="P83" s="2472"/>
      <c r="Q83" s="2472"/>
      <c r="R83" s="2533" t="s">
        <v>28</v>
      </c>
      <c r="S83" s="2526"/>
      <c r="T83" s="1362"/>
      <c r="U83" s="1363"/>
      <c r="V83" s="1363"/>
      <c r="W83" s="2528"/>
      <c r="Y83" s="1186"/>
      <c r="Z83" s="1186"/>
      <c r="AA83" s="1186"/>
      <c r="AB83" s="1186"/>
      <c r="AC83" s="1186"/>
      <c r="AD83" s="1186"/>
      <c r="AE83" s="1186"/>
      <c r="AF83" s="1186"/>
      <c r="AG83" s="1186"/>
      <c r="AH83" s="1186"/>
      <c r="AI83" s="1186"/>
      <c r="AJ83" s="1186"/>
      <c r="AK83" s="1186"/>
      <c r="AL83" s="1779"/>
      <c r="AM83" s="1779"/>
      <c r="AN83" s="1779"/>
      <c r="AO83" s="1779"/>
      <c r="AP83" s="1779"/>
      <c r="AQ83" s="1779"/>
    </row>
    <row r="84" spans="1:44" ht="17.25" customHeight="1">
      <c r="A84" s="1766"/>
      <c r="B84" s="1779"/>
      <c r="C84" s="1771"/>
      <c r="D84" s="2519"/>
      <c r="E84" s="2520"/>
      <c r="F84" s="2497"/>
      <c r="G84" s="2523"/>
      <c r="H84" s="2519"/>
      <c r="I84" s="2519"/>
      <c r="J84" s="2530"/>
      <c r="K84" s="2523"/>
      <c r="L84" s="2495"/>
      <c r="M84" s="2495"/>
      <c r="N84" s="2525"/>
      <c r="O84" s="2476"/>
      <c r="P84" s="254"/>
      <c r="Q84" s="255"/>
      <c r="R84" s="255" t="s">
        <v>295</v>
      </c>
      <c r="S84" s="1772"/>
      <c r="T84" s="1772"/>
      <c r="U84" s="1772"/>
      <c r="V84" s="1772"/>
      <c r="W84" s="1360"/>
      <c r="Y84" s="1186"/>
      <c r="Z84" s="1186"/>
      <c r="AA84" s="1186"/>
      <c r="AB84" s="1186"/>
      <c r="AC84" s="1186"/>
      <c r="AD84" s="1186"/>
      <c r="AE84" s="1186"/>
      <c r="AF84" s="1186"/>
      <c r="AG84" s="1186"/>
      <c r="AH84" s="1186"/>
      <c r="AI84" s="1186"/>
      <c r="AJ84" s="1186"/>
      <c r="AK84" s="1186"/>
      <c r="AL84" s="1779"/>
      <c r="AM84" s="1779"/>
      <c r="AN84" s="1779"/>
      <c r="AO84" s="1779"/>
      <c r="AP84" s="1779"/>
      <c r="AQ84" s="1779"/>
    </row>
    <row r="85" spans="1:44" s="1779" customFormat="1" ht="17.25" customHeight="1">
      <c r="A85" s="258"/>
      <c r="C85" s="257"/>
      <c r="D85" s="2494"/>
      <c r="E85" s="2483"/>
      <c r="F85" s="2497"/>
      <c r="G85" s="2521"/>
      <c r="H85" s="2495"/>
      <c r="I85" s="2495"/>
      <c r="J85" s="2529"/>
      <c r="K85" s="2476"/>
      <c r="L85" s="2044"/>
      <c r="M85" s="2045"/>
      <c r="N85" s="2046" t="s">
        <v>299</v>
      </c>
      <c r="O85" s="2047"/>
      <c r="P85" s="2048"/>
      <c r="Q85" s="2049"/>
      <c r="R85" s="2050"/>
      <c r="S85" s="2051"/>
      <c r="T85" s="2052"/>
      <c r="U85" s="2053"/>
      <c r="V85" s="2054"/>
      <c r="W85" s="2055"/>
      <c r="Y85" s="1186"/>
      <c r="Z85" s="1186"/>
      <c r="AA85" s="1186"/>
      <c r="AB85" s="1186"/>
      <c r="AC85" s="1186"/>
      <c r="AD85" s="1186"/>
      <c r="AE85" s="1186"/>
      <c r="AF85" s="1186"/>
      <c r="AG85" s="1186"/>
      <c r="AH85" s="1186"/>
      <c r="AI85" s="1186"/>
      <c r="AJ85" s="1186"/>
      <c r="AK85" s="1186"/>
      <c r="AL85" s="1186"/>
      <c r="AM85" s="1186"/>
      <c r="AN85" s="1186"/>
      <c r="AO85" s="1186"/>
      <c r="AP85" s="1186"/>
      <c r="AQ85" s="1186"/>
      <c r="AR85" s="1368">
        <v>0</v>
      </c>
    </row>
    <row r="86" spans="1:44" s="1779" customFormat="1" ht="17.25" customHeight="1">
      <c r="A86" s="258"/>
      <c r="C86" s="257"/>
      <c r="D86" s="2495"/>
      <c r="E86" s="2484"/>
      <c r="F86" s="2498"/>
      <c r="G86" s="2522"/>
      <c r="H86" s="2056"/>
      <c r="I86" s="2057"/>
      <c r="J86" s="2058" t="s">
        <v>300</v>
      </c>
      <c r="K86" s="2059"/>
      <c r="L86" s="2060"/>
      <c r="M86" s="2061"/>
      <c r="N86" s="2062"/>
      <c r="O86" s="2063"/>
      <c r="P86" s="2064"/>
      <c r="Q86" s="2065"/>
      <c r="R86" s="2066"/>
      <c r="S86" s="2067"/>
      <c r="T86" s="2068"/>
      <c r="U86" s="2069"/>
      <c r="V86" s="2070"/>
      <c r="W86" s="2071"/>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customHeight="1">
      <c r="A87" s="258"/>
      <c r="C87" s="146"/>
      <c r="D87" s="2494">
        <v>2</v>
      </c>
      <c r="E87" s="2483" t="s">
        <v>301</v>
      </c>
      <c r="F87" s="2496" t="s">
        <v>66</v>
      </c>
      <c r="G87" s="2521" t="str">
        <f>INDEX(VD_NAME_LIST,MATCH("4189672",VD_ID_LIST,0))</f>
        <v>Холодное водоснабжение. Техническая вода</v>
      </c>
      <c r="H87" s="2527"/>
      <c r="I87" s="2527">
        <v>1</v>
      </c>
      <c r="J87" s="2528" t="s">
        <v>302</v>
      </c>
      <c r="K87" s="2531" t="s">
        <v>66</v>
      </c>
      <c r="L87" s="2472"/>
      <c r="M87" s="2472" t="s">
        <v>177</v>
      </c>
      <c r="N87" s="2524" t="str">
        <f>IF(Z87="","",INDEX(TERRITORY_MR_LIST,MATCH(Z87,TERRITORY_LIST_ID,0)))</f>
        <v>Территория 5</v>
      </c>
      <c r="O87" s="2531" t="s">
        <v>19</v>
      </c>
      <c r="P87" s="2472"/>
      <c r="Q87" s="2472" t="s">
        <v>177</v>
      </c>
      <c r="R87" s="2533" t="s">
        <v>28</v>
      </c>
      <c r="S87" s="2526" t="s">
        <v>19</v>
      </c>
      <c r="T87" s="2018"/>
      <c r="U87" s="2018" t="s">
        <v>177</v>
      </c>
      <c r="V87" s="1361"/>
      <c r="W87" s="2528"/>
      <c r="X87" s="1194"/>
      <c r="Y87" s="1194"/>
      <c r="Z87" s="1194" t="s">
        <v>170</v>
      </c>
      <c r="AA87" s="1194"/>
      <c r="AB87" s="1194" t="s">
        <v>303</v>
      </c>
      <c r="AC87" s="1194" t="s">
        <v>304</v>
      </c>
      <c r="AD87" s="1194" t="s">
        <v>305</v>
      </c>
      <c r="AE87" s="1194" t="s">
        <v>306</v>
      </c>
      <c r="AF87" s="1194" t="s">
        <v>307</v>
      </c>
      <c r="AG87" s="1194"/>
      <c r="AH87" s="1194" t="str">
        <f>IF($E$87=0,"",$E$87)</f>
        <v>Тариф на техническую воду</v>
      </c>
      <c r="AI87" s="1194" t="str">
        <f>IF($G$87=0,"",$G$87)</f>
        <v>Холодное водоснабжение. Техническая вода</v>
      </c>
      <c r="AJ87" s="1194" t="str">
        <f>IF($J$87=0,"",$J$87)</f>
        <v>Тариф на холодное водоснабжение (техническая)</v>
      </c>
      <c r="AK87" s="1194" t="str">
        <f>IF($K$87="нет","без дифференциации",IF($N$87=0,"",$N$87))</f>
        <v>Территория 5</v>
      </c>
      <c r="AL87" s="1194" t="str">
        <f>IF($O$87="нет","без дифференциации",IF($R$87=0,"",$R$87))</f>
        <v>без дифференциации</v>
      </c>
      <c r="AM87" s="1194" t="str">
        <f>IF($S$87="нет","без дифференциации",IF($V$87=0,"",$V$87))</f>
        <v>без дифференциации</v>
      </c>
      <c r="AN87" s="1699">
        <f>$I$87</f>
        <v>1</v>
      </c>
      <c r="AO87" s="1194" t="str">
        <f>$I$87&amp;"."&amp;$M$87</f>
        <v>1.1</v>
      </c>
      <c r="AP87" s="1186" t="str">
        <f>$I$87&amp;"."&amp;$M$87&amp;"."&amp;$Q$87</f>
        <v>1.1.1</v>
      </c>
      <c r="AQ87" s="1186" t="str">
        <f>$I$87&amp;"."&amp;$M$87&amp;"."&amp;$Q$87&amp;"."&amp;$U$87</f>
        <v>1.1.1.1</v>
      </c>
      <c r="AR87" s="1277">
        <v>0</v>
      </c>
    </row>
    <row r="88" spans="1:44" s="1779" customFormat="1" ht="17.25" customHeight="1">
      <c r="A88" s="258"/>
      <c r="C88" s="257"/>
      <c r="D88" s="2494"/>
      <c r="E88" s="2483"/>
      <c r="F88" s="2497"/>
      <c r="G88" s="2521"/>
      <c r="H88" s="2527"/>
      <c r="I88" s="2527"/>
      <c r="J88" s="2528"/>
      <c r="K88" s="2532"/>
      <c r="L88" s="2472"/>
      <c r="M88" s="2472"/>
      <c r="N88" s="2524"/>
      <c r="O88" s="2532"/>
      <c r="P88" s="2472"/>
      <c r="Q88" s="2472"/>
      <c r="R88" s="2533" t="s">
        <v>28</v>
      </c>
      <c r="S88" s="2526"/>
      <c r="T88" s="1362"/>
      <c r="U88" s="1363"/>
      <c r="V88" s="1363"/>
      <c r="W88" s="2528"/>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customHeight="1">
      <c r="A89" s="258"/>
      <c r="C89" s="257"/>
      <c r="D89" s="2495"/>
      <c r="E89" s="2484"/>
      <c r="F89" s="2497"/>
      <c r="G89" s="2522"/>
      <c r="H89" s="2495"/>
      <c r="I89" s="2495"/>
      <c r="J89" s="2529"/>
      <c r="K89" s="2532"/>
      <c r="L89" s="2495"/>
      <c r="M89" s="2495"/>
      <c r="N89" s="2525"/>
      <c r="O89" s="2476"/>
      <c r="P89" s="2072"/>
      <c r="Q89" s="2073"/>
      <c r="R89" s="2074" t="s">
        <v>295</v>
      </c>
      <c r="S89" s="2075"/>
      <c r="T89" s="2076"/>
      <c r="U89" s="2077"/>
      <c r="V89" s="2078"/>
      <c r="W89" s="2079"/>
      <c r="X89" s="1186"/>
      <c r="Y89" s="1186"/>
      <c r="Z89" s="1186"/>
      <c r="AA89" s="1186"/>
      <c r="AB89" s="1186"/>
      <c r="AC89" s="1186"/>
      <c r="AD89" s="1186"/>
      <c r="AE89" s="1186"/>
      <c r="AF89" s="1186"/>
      <c r="AG89" s="1186"/>
      <c r="AH89" s="1186"/>
      <c r="AI89" s="1186"/>
      <c r="AJ89" s="1186"/>
      <c r="AK89" s="1186"/>
      <c r="AL89" s="1186"/>
      <c r="AM89" s="1186"/>
      <c r="AN89" s="1186"/>
      <c r="AO89" s="1186"/>
      <c r="AP89" s="1186"/>
      <c r="AQ89" s="1186"/>
      <c r="AR89" s="1277">
        <v>0</v>
      </c>
    </row>
    <row r="90" spans="1:44" ht="17.25" customHeight="1">
      <c r="A90" s="1766"/>
      <c r="B90" s="1779"/>
      <c r="C90" s="1768"/>
      <c r="D90" s="2519"/>
      <c r="E90" s="2520"/>
      <c r="F90" s="2497"/>
      <c r="G90" s="2523"/>
      <c r="H90" s="2519"/>
      <c r="I90" s="2519"/>
      <c r="J90" s="2530"/>
      <c r="K90" s="2523"/>
      <c r="L90" s="2472" t="s">
        <v>103</v>
      </c>
      <c r="M90" s="2472" t="s">
        <v>102</v>
      </c>
      <c r="N90" s="2524" t="str">
        <f>IF(Z90="","",INDEX(TERRITORY_MR_LIST,MATCH(Z90,TERRITORY_LIST_ID,0)))</f>
        <v>Территория 2</v>
      </c>
      <c r="O90" s="2531" t="s">
        <v>19</v>
      </c>
      <c r="P90" s="2472"/>
      <c r="Q90" s="2472" t="s">
        <v>177</v>
      </c>
      <c r="R90" s="2533" t="s">
        <v>28</v>
      </c>
      <c r="S90" s="2526" t="s">
        <v>19</v>
      </c>
      <c r="T90" s="1729"/>
      <c r="U90" s="1729" t="s">
        <v>177</v>
      </c>
      <c r="V90" s="1361"/>
      <c r="W90" s="2528"/>
      <c r="Y90" s="1194"/>
      <c r="Z90" s="1194" t="s">
        <v>111</v>
      </c>
      <c r="AA90" s="1194"/>
      <c r="AB90" s="1194"/>
      <c r="AC90" s="1897" t="s">
        <v>304</v>
      </c>
      <c r="AD90" s="1897" t="s">
        <v>305</v>
      </c>
      <c r="AE90" s="1194" t="s">
        <v>308</v>
      </c>
      <c r="AF90" s="1194" t="s">
        <v>309</v>
      </c>
      <c r="AG90" s="1194" t="s">
        <v>310</v>
      </c>
      <c r="AH90" s="1194" t="str">
        <f>IF($E$87=0,"",$E$87)</f>
        <v>Тариф на техническую воду</v>
      </c>
      <c r="AI90" s="1194" t="str">
        <f>IF($G$87=0,"",$G$87)</f>
        <v>Холодное водоснабжение. Техническая вода</v>
      </c>
      <c r="AJ90" s="1194" t="str">
        <f>IF($J$87=0,"",$J$87)</f>
        <v>Тариф на холодное водоснабжение (техническая)</v>
      </c>
      <c r="AK90" s="1194" t="str">
        <f>IF($K$90="нет","без дифференциации",IF($N$90=0,"",$N$90))</f>
        <v>Территория 2</v>
      </c>
      <c r="AL90" s="1770" t="str">
        <f>IF($O$90="нет","без дифференциации",IF($R$90=0,"",$R$90))</f>
        <v>без дифференциации</v>
      </c>
      <c r="AM90" s="1770"/>
      <c r="AN90" s="1194">
        <f>$I$87</f>
        <v>1</v>
      </c>
      <c r="AO90" s="1194" t="str">
        <f>$I$87&amp;"."&amp;$M$90</f>
        <v>1.2</v>
      </c>
      <c r="AP90" s="1194" t="str">
        <f>$I$87&amp;"."&amp;$M$90&amp;"."&amp;$Q$90</f>
        <v>1.2.1</v>
      </c>
      <c r="AQ90" s="1194"/>
    </row>
    <row r="91" spans="1:44" ht="17.25" customHeight="1">
      <c r="A91" s="1766"/>
      <c r="B91" s="1779"/>
      <c r="C91" s="1771"/>
      <c r="D91" s="2519"/>
      <c r="E91" s="2520"/>
      <c r="F91" s="2497"/>
      <c r="G91" s="2523"/>
      <c r="H91" s="2519"/>
      <c r="I91" s="2519"/>
      <c r="J91" s="2530"/>
      <c r="K91" s="2523"/>
      <c r="L91" s="2472"/>
      <c r="M91" s="2472"/>
      <c r="N91" s="2524"/>
      <c r="O91" s="2532"/>
      <c r="P91" s="2472"/>
      <c r="Q91" s="2472"/>
      <c r="R91" s="2533" t="s">
        <v>28</v>
      </c>
      <c r="S91" s="2526"/>
      <c r="T91" s="1362"/>
      <c r="U91" s="1363"/>
      <c r="V91" s="1363"/>
      <c r="W91" s="2528"/>
      <c r="Y91" s="1186"/>
      <c r="Z91" s="1186"/>
      <c r="AA91" s="1186"/>
      <c r="AB91" s="1186"/>
      <c r="AC91" s="1186"/>
      <c r="AD91" s="1186"/>
      <c r="AE91" s="1186"/>
      <c r="AF91" s="1186"/>
      <c r="AG91" s="1186"/>
      <c r="AH91" s="1186"/>
      <c r="AI91" s="1186"/>
      <c r="AJ91" s="1186"/>
      <c r="AK91" s="1186"/>
      <c r="AL91" s="1779"/>
      <c r="AM91" s="1779"/>
      <c r="AN91" s="1779"/>
      <c r="AO91" s="1779"/>
      <c r="AP91" s="1779"/>
      <c r="AQ91" s="1779"/>
    </row>
    <row r="92" spans="1:44" ht="17.25" customHeight="1">
      <c r="A92" s="1766"/>
      <c r="B92" s="1779"/>
      <c r="C92" s="1771"/>
      <c r="D92" s="2519"/>
      <c r="E92" s="2520"/>
      <c r="F92" s="2497"/>
      <c r="G92" s="2523"/>
      <c r="H92" s="2519"/>
      <c r="I92" s="2519"/>
      <c r="J92" s="2530"/>
      <c r="K92" s="2523"/>
      <c r="L92" s="2495"/>
      <c r="M92" s="2495"/>
      <c r="N92" s="2525"/>
      <c r="O92" s="2476"/>
      <c r="P92" s="254"/>
      <c r="Q92" s="255"/>
      <c r="R92" s="255" t="s">
        <v>295</v>
      </c>
      <c r="S92" s="1772"/>
      <c r="T92" s="1772"/>
      <c r="U92" s="1772"/>
      <c r="V92" s="1772"/>
      <c r="W92" s="1360"/>
      <c r="Y92" s="1186"/>
      <c r="Z92" s="1186"/>
      <c r="AA92" s="1186"/>
      <c r="AB92" s="1186"/>
      <c r="AC92" s="1186"/>
      <c r="AD92" s="1186"/>
      <c r="AE92" s="1186"/>
      <c r="AF92" s="1186"/>
      <c r="AG92" s="1186"/>
      <c r="AH92" s="1186"/>
      <c r="AI92" s="1186"/>
      <c r="AJ92" s="1186"/>
      <c r="AK92" s="1186"/>
      <c r="AL92" s="1779"/>
      <c r="AM92" s="1779"/>
      <c r="AN92" s="1779"/>
      <c r="AO92" s="1779"/>
      <c r="AP92" s="1779"/>
      <c r="AQ92" s="1779"/>
    </row>
    <row r="93" spans="1:44" ht="17.25" customHeight="1">
      <c r="A93" s="1766"/>
      <c r="B93" s="1779"/>
      <c r="C93" s="1768"/>
      <c r="D93" s="2519"/>
      <c r="E93" s="2520"/>
      <c r="F93" s="2497"/>
      <c r="G93" s="2523"/>
      <c r="H93" s="2519"/>
      <c r="I93" s="2519"/>
      <c r="J93" s="2530"/>
      <c r="K93" s="2523"/>
      <c r="L93" s="2472" t="s">
        <v>103</v>
      </c>
      <c r="M93" s="2472" t="s">
        <v>90</v>
      </c>
      <c r="N93" s="2524" t="str">
        <f>IF(Z93="","",INDEX(TERRITORY_MR_LIST,MATCH(Z93,TERRITORY_LIST_ID,0)))</f>
        <v>Территория 4</v>
      </c>
      <c r="O93" s="2531" t="s">
        <v>19</v>
      </c>
      <c r="P93" s="2472"/>
      <c r="Q93" s="2472" t="s">
        <v>177</v>
      </c>
      <c r="R93" s="2533" t="s">
        <v>28</v>
      </c>
      <c r="S93" s="2526" t="s">
        <v>19</v>
      </c>
      <c r="T93" s="1729"/>
      <c r="U93" s="1729" t="s">
        <v>177</v>
      </c>
      <c r="V93" s="1361"/>
      <c r="W93" s="2528"/>
      <c r="Y93" s="1194"/>
      <c r="Z93" s="1194" t="s">
        <v>151</v>
      </c>
      <c r="AA93" s="1194"/>
      <c r="AB93" s="1194"/>
      <c r="AC93" s="1897" t="s">
        <v>304</v>
      </c>
      <c r="AD93" s="1897" t="s">
        <v>305</v>
      </c>
      <c r="AE93" s="1194" t="s">
        <v>311</v>
      </c>
      <c r="AF93" s="1194" t="s">
        <v>312</v>
      </c>
      <c r="AG93" s="1194" t="s">
        <v>313</v>
      </c>
      <c r="AH93" s="1194" t="str">
        <f>IF($E$87=0,"",$E$87)</f>
        <v>Тариф на техническую воду</v>
      </c>
      <c r="AI93" s="1194" t="str">
        <f>IF($G$87=0,"",$G$87)</f>
        <v>Холодное водоснабжение. Техническая вода</v>
      </c>
      <c r="AJ93" s="1194" t="str">
        <f>IF($J$87=0,"",$J$87)</f>
        <v>Тариф на холодное водоснабжение (техническая)</v>
      </c>
      <c r="AK93" s="1194" t="str">
        <f>IF($K$93="нет","без дифференциации",IF($N$93=0,"",$N$93))</f>
        <v>Территория 4</v>
      </c>
      <c r="AL93" s="1770" t="str">
        <f>IF($O$93="нет","без дифференциации",IF($R$93=0,"",$R$93))</f>
        <v>без дифференциации</v>
      </c>
      <c r="AM93" s="1770"/>
      <c r="AN93" s="1194">
        <f>$I$87</f>
        <v>1</v>
      </c>
      <c r="AO93" s="1194" t="str">
        <f>$I$87&amp;"."&amp;$M$93</f>
        <v>1.3</v>
      </c>
      <c r="AP93" s="1194" t="str">
        <f>$I$87&amp;"."&amp;$M$93&amp;"."&amp;$Q$93</f>
        <v>1.3.1</v>
      </c>
      <c r="AQ93" s="1194"/>
    </row>
    <row r="94" spans="1:44" ht="17.25" customHeight="1">
      <c r="A94" s="1766"/>
      <c r="B94" s="1779"/>
      <c r="C94" s="1771"/>
      <c r="D94" s="2519"/>
      <c r="E94" s="2520"/>
      <c r="F94" s="2497"/>
      <c r="G94" s="2523"/>
      <c r="H94" s="2519"/>
      <c r="I94" s="2519"/>
      <c r="J94" s="2530"/>
      <c r="K94" s="2523"/>
      <c r="L94" s="2472"/>
      <c r="M94" s="2472"/>
      <c r="N94" s="2524"/>
      <c r="O94" s="2532"/>
      <c r="P94" s="2472"/>
      <c r="Q94" s="2472"/>
      <c r="R94" s="2533" t="s">
        <v>28</v>
      </c>
      <c r="S94" s="2526"/>
      <c r="T94" s="1362"/>
      <c r="U94" s="1363"/>
      <c r="V94" s="1363"/>
      <c r="W94" s="2528"/>
      <c r="Y94" s="1186"/>
      <c r="Z94" s="1186"/>
      <c r="AA94" s="1186"/>
      <c r="AB94" s="1186"/>
      <c r="AC94" s="1186"/>
      <c r="AD94" s="1186"/>
      <c r="AE94" s="1186"/>
      <c r="AF94" s="1186"/>
      <c r="AG94" s="1186"/>
      <c r="AH94" s="1186"/>
      <c r="AI94" s="1186"/>
      <c r="AJ94" s="1186"/>
      <c r="AK94" s="1186"/>
      <c r="AL94" s="1779"/>
      <c r="AM94" s="1779"/>
      <c r="AN94" s="1779"/>
      <c r="AO94" s="1779"/>
      <c r="AP94" s="1779"/>
      <c r="AQ94" s="1779"/>
    </row>
    <row r="95" spans="1:44" ht="17.25" customHeight="1">
      <c r="A95" s="1766"/>
      <c r="B95" s="1779"/>
      <c r="C95" s="1771"/>
      <c r="D95" s="2519"/>
      <c r="E95" s="2520"/>
      <c r="F95" s="2497"/>
      <c r="G95" s="2523"/>
      <c r="H95" s="2519"/>
      <c r="I95" s="2519"/>
      <c r="J95" s="2530"/>
      <c r="K95" s="2523"/>
      <c r="L95" s="2495"/>
      <c r="M95" s="2495"/>
      <c r="N95" s="2525"/>
      <c r="O95" s="2476"/>
      <c r="P95" s="254"/>
      <c r="Q95" s="255"/>
      <c r="R95" s="255" t="s">
        <v>295</v>
      </c>
      <c r="S95" s="1772"/>
      <c r="T95" s="1772"/>
      <c r="U95" s="1772"/>
      <c r="V95" s="1772"/>
      <c r="W95" s="1360"/>
      <c r="Y95" s="1186"/>
      <c r="Z95" s="1186"/>
      <c r="AA95" s="1186"/>
      <c r="AB95" s="1186"/>
      <c r="AC95" s="1186"/>
      <c r="AD95" s="1186"/>
      <c r="AE95" s="1186"/>
      <c r="AF95" s="1186"/>
      <c r="AG95" s="1186"/>
      <c r="AH95" s="1186"/>
      <c r="AI95" s="1186"/>
      <c r="AJ95" s="1186"/>
      <c r="AK95" s="1186"/>
      <c r="AL95" s="1779"/>
      <c r="AM95" s="1779"/>
      <c r="AN95" s="1779"/>
      <c r="AO95" s="1779"/>
      <c r="AP95" s="1779"/>
      <c r="AQ95" s="1779"/>
    </row>
    <row r="96" spans="1:44" s="1779" customFormat="1" ht="17.25" customHeight="1">
      <c r="A96" s="258"/>
      <c r="C96" s="257"/>
      <c r="D96" s="2495"/>
      <c r="E96" s="2484"/>
      <c r="F96" s="2497"/>
      <c r="G96" s="2522"/>
      <c r="H96" s="2495"/>
      <c r="I96" s="2495"/>
      <c r="J96" s="2529"/>
      <c r="K96" s="2476"/>
      <c r="L96" s="2080"/>
      <c r="M96" s="2081"/>
      <c r="N96" s="2082" t="s">
        <v>299</v>
      </c>
      <c r="O96" s="2083"/>
      <c r="P96" s="2084"/>
      <c r="Q96" s="2085"/>
      <c r="R96" s="2086"/>
      <c r="S96" s="2087"/>
      <c r="T96" s="2088"/>
      <c r="U96" s="2089"/>
      <c r="V96" s="2090"/>
      <c r="W96" s="2091"/>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customHeight="1">
      <c r="A97" s="258"/>
      <c r="C97" s="257"/>
      <c r="D97" s="2495"/>
      <c r="E97" s="2484"/>
      <c r="F97" s="2498"/>
      <c r="G97" s="2522"/>
      <c r="H97" s="2092"/>
      <c r="I97" s="2093"/>
      <c r="J97" s="2094" t="s">
        <v>300</v>
      </c>
      <c r="K97" s="2095"/>
      <c r="L97" s="2096"/>
      <c r="M97" s="2097"/>
      <c r="N97" s="2098"/>
      <c r="O97" s="2099"/>
      <c r="P97" s="2100"/>
      <c r="Q97" s="2101"/>
      <c r="R97" s="2102"/>
      <c r="S97" s="2103"/>
      <c r="T97" s="2104"/>
      <c r="U97" s="2105"/>
      <c r="V97" s="2106"/>
      <c r="W97" s="2107"/>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customHeight="1">
      <c r="A98" s="258"/>
      <c r="C98" s="146"/>
      <c r="D98" s="2494">
        <v>3</v>
      </c>
      <c r="E98" s="2483" t="s">
        <v>314</v>
      </c>
      <c r="F98" s="2496" t="s">
        <v>19</v>
      </c>
      <c r="G98" s="2483"/>
      <c r="H98" s="2485"/>
      <c r="I98" s="2487"/>
      <c r="J98" s="2489"/>
      <c r="K98" s="2481"/>
      <c r="L98" s="2481"/>
      <c r="M98" s="2481"/>
      <c r="N98" s="2492"/>
      <c r="O98" s="2481"/>
      <c r="P98" s="2481"/>
      <c r="Q98" s="2481"/>
      <c r="R98" s="2479"/>
      <c r="S98" s="2481"/>
      <c r="T98" s="1370"/>
      <c r="U98" s="1370"/>
      <c r="V98" s="1372"/>
      <c r="W98" s="1223"/>
      <c r="X98" s="1194"/>
      <c r="Y98" s="1194"/>
      <c r="Z98" s="1194"/>
      <c r="AA98" s="1194"/>
      <c r="AB98" s="1194"/>
      <c r="AC98" s="1194" t="s">
        <v>315</v>
      </c>
      <c r="AD98" s="1194" t="s">
        <v>316</v>
      </c>
      <c r="AE98" s="1194" t="s">
        <v>317</v>
      </c>
      <c r="AF98" s="1194" t="s">
        <v>318</v>
      </c>
      <c r="AG98" s="1194"/>
      <c r="AH98" s="1194" t="str">
        <f>IF($E$98=0,"",$E$98)</f>
        <v>Тариф на транспортировку воды</v>
      </c>
      <c r="AI98" s="1194" t="str">
        <f>IF($G$98=0,"",$G$98)</f>
        <v/>
      </c>
      <c r="AJ98" s="1194" t="str">
        <f>IF($J$98=0,"",$J$98)</f>
        <v/>
      </c>
      <c r="AK98" s="1194" t="str">
        <f>IF($K$98="нет","без дифференциации",IF($N$98=0,"",$N$98))</f>
        <v/>
      </c>
      <c r="AL98" s="1194" t="str">
        <f>IF($O$98="нет","без дифференциации",IF($R$98=0,"",$R$98))</f>
        <v/>
      </c>
      <c r="AM98" s="1194" t="str">
        <f>IF($S$98="нет","без дифференциации",IF($V$98=0,"",$V$98))</f>
        <v/>
      </c>
      <c r="AN98" s="1699">
        <f>$I$98</f>
        <v>0</v>
      </c>
      <c r="AO98" s="1194" t="str">
        <f>$I$98&amp;"."&amp;$M$98</f>
        <v>.</v>
      </c>
      <c r="AP98" s="1186" t="str">
        <f>$I$98&amp;"."&amp;$M$98&amp;"."&amp;$Q$98</f>
        <v>..</v>
      </c>
      <c r="AQ98" s="1186" t="str">
        <f>$I$98&amp;"."&amp;$M$98&amp;"."&amp;$Q$98&amp;"."&amp;$U$98</f>
        <v>...</v>
      </c>
      <c r="AR98" s="1277">
        <v>0</v>
      </c>
    </row>
    <row r="99" spans="1:44" s="1779" customFormat="1" ht="17.25" customHeight="1">
      <c r="A99" s="258"/>
      <c r="C99" s="257"/>
      <c r="D99" s="2494"/>
      <c r="E99" s="2483"/>
      <c r="F99" s="2497"/>
      <c r="G99" s="2483"/>
      <c r="H99" s="2486"/>
      <c r="I99" s="2488"/>
      <c r="J99" s="2490"/>
      <c r="K99" s="2482"/>
      <c r="L99" s="2482"/>
      <c r="M99" s="2482"/>
      <c r="N99" s="2493"/>
      <c r="O99" s="2482"/>
      <c r="P99" s="2482"/>
      <c r="Q99" s="2482"/>
      <c r="R99" s="2480"/>
      <c r="S99" s="2482"/>
      <c r="T99" s="1224"/>
      <c r="U99" s="1224"/>
      <c r="V99" s="1224"/>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9" customFormat="1" ht="17.25" customHeight="1">
      <c r="A100" s="258"/>
      <c r="C100" s="257"/>
      <c r="D100" s="2495"/>
      <c r="E100" s="2484"/>
      <c r="F100" s="2497"/>
      <c r="G100" s="2484"/>
      <c r="H100" s="2486"/>
      <c r="I100" s="2488"/>
      <c r="J100" s="2491"/>
      <c r="K100" s="2482"/>
      <c r="L100" s="2482"/>
      <c r="M100" s="2482"/>
      <c r="N100" s="2480"/>
      <c r="O100" s="2482"/>
      <c r="P100" s="1371"/>
      <c r="Q100" s="1224"/>
      <c r="R100" s="1224"/>
      <c r="S100" s="266"/>
      <c r="T100" s="266"/>
      <c r="U100" s="266"/>
      <c r="V100" s="266"/>
      <c r="W100" s="1225"/>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9" customFormat="1" ht="17.25" customHeight="1">
      <c r="A101" s="258"/>
      <c r="C101" s="257"/>
      <c r="D101" s="2495"/>
      <c r="E101" s="2484"/>
      <c r="F101" s="2497"/>
      <c r="G101" s="2484"/>
      <c r="H101" s="2486"/>
      <c r="I101" s="2488"/>
      <c r="J101" s="2491"/>
      <c r="K101" s="2482"/>
      <c r="L101" s="1224"/>
      <c r="M101" s="1224"/>
      <c r="N101" s="1224"/>
      <c r="O101" s="1224"/>
      <c r="P101" s="1224"/>
      <c r="Q101" s="1224"/>
      <c r="R101" s="1224"/>
      <c r="S101" s="266"/>
      <c r="T101" s="266"/>
      <c r="U101" s="266"/>
      <c r="V101" s="266"/>
      <c r="W101" s="1225"/>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9" customFormat="1" ht="17.25" customHeight="1">
      <c r="A102" s="258"/>
      <c r="C102" s="257"/>
      <c r="D102" s="2495"/>
      <c r="E102" s="2484"/>
      <c r="F102" s="2498"/>
      <c r="G102" s="2484"/>
      <c r="H102" s="1226"/>
      <c r="I102" s="1227"/>
      <c r="J102" s="1227"/>
      <c r="K102" s="1227"/>
      <c r="L102" s="1227"/>
      <c r="M102" s="1227"/>
      <c r="N102" s="1227"/>
      <c r="O102" s="1227"/>
      <c r="P102" s="1227"/>
      <c r="Q102" s="1227"/>
      <c r="R102" s="1227"/>
      <c r="S102" s="1228"/>
      <c r="T102" s="1228"/>
      <c r="U102" s="1228"/>
      <c r="V102" s="1228"/>
      <c r="W102" s="1229"/>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277">
        <v>0</v>
      </c>
    </row>
    <row r="103" spans="1:44" s="1779" customFormat="1" ht="17.25" customHeight="1">
      <c r="A103" s="258"/>
      <c r="C103" s="146"/>
      <c r="D103" s="2494">
        <v>4</v>
      </c>
      <c r="E103" s="2483" t="s">
        <v>319</v>
      </c>
      <c r="F103" s="2496" t="s">
        <v>19</v>
      </c>
      <c r="G103" s="2483"/>
      <c r="H103" s="2485"/>
      <c r="I103" s="2487"/>
      <c r="J103" s="2489"/>
      <c r="K103" s="2481"/>
      <c r="L103" s="2481"/>
      <c r="M103" s="2481"/>
      <c r="N103" s="2492"/>
      <c r="O103" s="2481"/>
      <c r="P103" s="2481"/>
      <c r="Q103" s="2481"/>
      <c r="R103" s="2479"/>
      <c r="S103" s="2481"/>
      <c r="T103" s="1370"/>
      <c r="U103" s="1370"/>
      <c r="V103" s="1372"/>
      <c r="W103" s="1223"/>
      <c r="X103" s="1194"/>
      <c r="Y103" s="1194"/>
      <c r="Z103" s="1194"/>
      <c r="AA103" s="1194"/>
      <c r="AB103" s="1194"/>
      <c r="AC103" s="1194" t="s">
        <v>320</v>
      </c>
      <c r="AD103" s="1194" t="s">
        <v>321</v>
      </c>
      <c r="AE103" s="1194" t="s">
        <v>322</v>
      </c>
      <c r="AF103" s="1194" t="s">
        <v>323</v>
      </c>
      <c r="AG103" s="1194"/>
      <c r="AH103" s="1194" t="str">
        <f>IF($E$103=0,"",$E$103)</f>
        <v>Тариф на подвоз воды</v>
      </c>
      <c r="AI103" s="1194" t="str">
        <f>IF($G$103=0,"",$G$103)</f>
        <v/>
      </c>
      <c r="AJ103" s="1194" t="str">
        <f>IF($J$103=0,"",$J$103)</f>
        <v/>
      </c>
      <c r="AK103" s="1194" t="str">
        <f>IF($K$103="нет","без дифференциации",IF($N$103=0,"",$N$103))</f>
        <v/>
      </c>
      <c r="AL103" s="1194" t="str">
        <f>IF($O$103="нет","без дифференциации",IF($R$103=0,"",$R$103))</f>
        <v/>
      </c>
      <c r="AM103" s="1194" t="str">
        <f>IF($S$103="нет","без дифференциации",IF($V$103=0,"",$V$103))</f>
        <v/>
      </c>
      <c r="AN103" s="1699">
        <f>$I$103</f>
        <v>0</v>
      </c>
      <c r="AO103" s="1194" t="str">
        <f>$I$103&amp;"."&amp;$M$103</f>
        <v>.</v>
      </c>
      <c r="AP103" s="1186" t="str">
        <f>$I$103&amp;"."&amp;$M$103&amp;"."&amp;$Q$103</f>
        <v>..</v>
      </c>
      <c r="AQ103" s="1186" t="str">
        <f>$I$103&amp;"."&amp;$M$103&amp;"."&amp;$Q$103&amp;"."&amp;$U$103</f>
        <v>...</v>
      </c>
      <c r="AR103" s="1277">
        <v>0</v>
      </c>
    </row>
    <row r="104" spans="1:44" s="1779" customFormat="1" ht="17.25" customHeight="1">
      <c r="A104" s="258"/>
      <c r="C104" s="257"/>
      <c r="D104" s="2494"/>
      <c r="E104" s="2483"/>
      <c r="F104" s="2497"/>
      <c r="G104" s="2483"/>
      <c r="H104" s="2486"/>
      <c r="I104" s="2488"/>
      <c r="J104" s="2490"/>
      <c r="K104" s="2482"/>
      <c r="L104" s="2482"/>
      <c r="M104" s="2482"/>
      <c r="N104" s="2493"/>
      <c r="O104" s="2482"/>
      <c r="P104" s="2482"/>
      <c r="Q104" s="2482"/>
      <c r="R104" s="2480"/>
      <c r="S104" s="2482"/>
      <c r="T104" s="1224"/>
      <c r="U104" s="1224"/>
      <c r="V104" s="1224"/>
      <c r="W104" s="1225"/>
      <c r="X104" s="1186"/>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277">
        <v>0</v>
      </c>
    </row>
    <row r="105" spans="1:44" s="1779" customFormat="1" ht="17.25" customHeight="1">
      <c r="A105" s="258"/>
      <c r="C105" s="257"/>
      <c r="D105" s="2495"/>
      <c r="E105" s="2484"/>
      <c r="F105" s="2497"/>
      <c r="G105" s="2484"/>
      <c r="H105" s="2486"/>
      <c r="I105" s="2488"/>
      <c r="J105" s="2491"/>
      <c r="K105" s="2482"/>
      <c r="L105" s="2482"/>
      <c r="M105" s="2482"/>
      <c r="N105" s="2480"/>
      <c r="O105" s="2482"/>
      <c r="P105" s="1371"/>
      <c r="Q105" s="1224"/>
      <c r="R105" s="1224"/>
      <c r="S105" s="266"/>
      <c r="T105" s="266"/>
      <c r="U105" s="266"/>
      <c r="V105" s="266"/>
      <c r="W105" s="1225"/>
      <c r="X105" s="1186"/>
      <c r="Y105" s="1186"/>
      <c r="Z105" s="1186"/>
      <c r="AA105" s="1186"/>
      <c r="AB105" s="1186"/>
      <c r="AC105" s="1186"/>
      <c r="AD105" s="1186"/>
      <c r="AE105" s="1186"/>
      <c r="AF105" s="1186"/>
      <c r="AG105" s="1186"/>
      <c r="AH105" s="1186"/>
      <c r="AI105" s="1186"/>
      <c r="AJ105" s="1186"/>
      <c r="AK105" s="1186"/>
      <c r="AL105" s="1186"/>
      <c r="AM105" s="1186"/>
      <c r="AN105" s="1186"/>
      <c r="AO105" s="1186"/>
      <c r="AP105" s="1186"/>
      <c r="AQ105" s="1186"/>
      <c r="AR105" s="1277">
        <v>0</v>
      </c>
    </row>
    <row r="106" spans="1:44" s="1779" customFormat="1" ht="17.25" customHeight="1">
      <c r="A106" s="258"/>
      <c r="C106" s="257"/>
      <c r="D106" s="2495"/>
      <c r="E106" s="2484"/>
      <c r="F106" s="2497"/>
      <c r="G106" s="2484"/>
      <c r="H106" s="2486"/>
      <c r="I106" s="2488"/>
      <c r="J106" s="2491"/>
      <c r="K106" s="2482"/>
      <c r="L106" s="1224"/>
      <c r="M106" s="1224"/>
      <c r="N106" s="1224"/>
      <c r="O106" s="1224"/>
      <c r="P106" s="1224"/>
      <c r="Q106" s="1224"/>
      <c r="R106" s="1224"/>
      <c r="S106" s="266"/>
      <c r="T106" s="266"/>
      <c r="U106" s="266"/>
      <c r="V106" s="266"/>
      <c r="W106" s="1225"/>
      <c r="X106" s="1186"/>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277">
        <v>0</v>
      </c>
    </row>
    <row r="107" spans="1:44" s="1779" customFormat="1" ht="17.25" customHeight="1">
      <c r="A107" s="258"/>
      <c r="C107" s="257"/>
      <c r="D107" s="2495"/>
      <c r="E107" s="2484"/>
      <c r="F107" s="2498"/>
      <c r="G107" s="2484"/>
      <c r="H107" s="1226"/>
      <c r="I107" s="1227"/>
      <c r="J107" s="1227"/>
      <c r="K107" s="1227"/>
      <c r="L107" s="1227"/>
      <c r="M107" s="1227"/>
      <c r="N107" s="1227"/>
      <c r="O107" s="1227"/>
      <c r="P107" s="1227"/>
      <c r="Q107" s="1227"/>
      <c r="R107" s="1227"/>
      <c r="S107" s="1228"/>
      <c r="T107" s="1228"/>
      <c r="U107" s="1228"/>
      <c r="V107" s="1228"/>
      <c r="W107" s="1229"/>
      <c r="X107" s="1186"/>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277">
        <v>0</v>
      </c>
    </row>
    <row r="108" spans="1:44" s="1779" customFormat="1" ht="17.25" customHeight="1">
      <c r="A108" s="258"/>
      <c r="C108" s="146"/>
      <c r="D108" s="2494">
        <v>5</v>
      </c>
      <c r="E108" s="2483" t="s">
        <v>324</v>
      </c>
      <c r="F108" s="2496" t="s">
        <v>19</v>
      </c>
      <c r="G108" s="2483"/>
      <c r="H108" s="2485"/>
      <c r="I108" s="2487"/>
      <c r="J108" s="2489"/>
      <c r="K108" s="2481"/>
      <c r="L108" s="2481"/>
      <c r="M108" s="2481"/>
      <c r="N108" s="2492"/>
      <c r="O108" s="2481"/>
      <c r="P108" s="2481"/>
      <c r="Q108" s="2481"/>
      <c r="R108" s="2479"/>
      <c r="S108" s="2481"/>
      <c r="T108" s="1866"/>
      <c r="U108" s="1866"/>
      <c r="V108" s="1868"/>
      <c r="W108" s="1223"/>
      <c r="X108" s="1194"/>
      <c r="Y108" s="1194"/>
      <c r="Z108" s="1194"/>
      <c r="AA108" s="1194"/>
      <c r="AB108" s="1194"/>
      <c r="AC108" s="1194" t="s">
        <v>325</v>
      </c>
      <c r="AD108" s="1194" t="s">
        <v>326</v>
      </c>
      <c r="AE108" s="1194" t="s">
        <v>327</v>
      </c>
      <c r="AF108" s="1194" t="s">
        <v>328</v>
      </c>
      <c r="AG108" s="1194"/>
      <c r="AH108" s="1194" t="str">
        <f>IF($E$108=0,"",$E$108)</f>
        <v>Тариф на подключение (технологическое присоединение) к централизованной системе холодного водоснабжения</v>
      </c>
      <c r="AI108" s="1194" t="str">
        <f>IF($G$108=0,"",$G$108)</f>
        <v/>
      </c>
      <c r="AJ108" s="1194" t="str">
        <f>IF($J$108=0,"",$J$108)</f>
        <v/>
      </c>
      <c r="AK108" s="1194" t="str">
        <f>IF($K$108="нет","без дифференциации",IF($N$108=0,"",$N$108))</f>
        <v/>
      </c>
      <c r="AL108" s="1194" t="str">
        <f>IF($O$108="нет","без дифференциации",IF($R$108=0,"",$R$108))</f>
        <v/>
      </c>
      <c r="AM108" s="1194" t="str">
        <f>IF($S$108="нет","без дифференциации",IF($V$108=0,"",$V$108))</f>
        <v/>
      </c>
      <c r="AN108" s="1699">
        <f>$I$108</f>
        <v>0</v>
      </c>
      <c r="AO108" s="1194" t="str">
        <f>$I$108&amp;"."&amp;$M$108</f>
        <v>.</v>
      </c>
      <c r="AP108" s="1193" t="str">
        <f>$I$108&amp;"."&amp;$M$108&amp;"."&amp;$Q$108</f>
        <v>..</v>
      </c>
      <c r="AQ108" s="1193" t="str">
        <f>$I$108&amp;"."&amp;$M$108&amp;"."&amp;$Q$108&amp;"."&amp;$U$108</f>
        <v>...</v>
      </c>
      <c r="AR108" s="1394">
        <v>0</v>
      </c>
    </row>
    <row r="109" spans="1:44" s="1779" customFormat="1" ht="17.25" customHeight="1">
      <c r="A109" s="258"/>
      <c r="C109" s="257"/>
      <c r="D109" s="2494"/>
      <c r="E109" s="2483"/>
      <c r="F109" s="2497"/>
      <c r="G109" s="2483"/>
      <c r="H109" s="2486"/>
      <c r="I109" s="2488"/>
      <c r="J109" s="2490"/>
      <c r="K109" s="2482"/>
      <c r="L109" s="2482"/>
      <c r="M109" s="2482"/>
      <c r="N109" s="2493"/>
      <c r="O109" s="2482"/>
      <c r="P109" s="2482"/>
      <c r="Q109" s="2482"/>
      <c r="R109" s="2480"/>
      <c r="S109" s="2482"/>
      <c r="T109" s="1871"/>
      <c r="U109" s="1871"/>
      <c r="V109" s="1871"/>
      <c r="W109" s="1872"/>
      <c r="X109" s="1193"/>
      <c r="Y109" s="1193"/>
      <c r="Z109" s="1193"/>
      <c r="AA109" s="1193"/>
      <c r="AB109" s="1193"/>
      <c r="AC109" s="1193"/>
      <c r="AD109" s="1193"/>
      <c r="AE109" s="1193"/>
      <c r="AF109" s="1193"/>
      <c r="AG109" s="1193"/>
      <c r="AH109" s="1193"/>
      <c r="AI109" s="1193"/>
      <c r="AJ109" s="1193"/>
      <c r="AK109" s="1193"/>
      <c r="AL109" s="1193"/>
      <c r="AM109" s="1193"/>
      <c r="AN109" s="1193"/>
      <c r="AO109" s="1193"/>
      <c r="AP109" s="1193"/>
      <c r="AQ109" s="1193"/>
      <c r="AR109" s="1394">
        <v>0</v>
      </c>
    </row>
    <row r="110" spans="1:44" s="1779" customFormat="1" ht="17.25" customHeight="1">
      <c r="A110" s="258"/>
      <c r="C110" s="257"/>
      <c r="D110" s="2495"/>
      <c r="E110" s="2484"/>
      <c r="F110" s="2497"/>
      <c r="G110" s="2484"/>
      <c r="H110" s="2486"/>
      <c r="I110" s="2488"/>
      <c r="J110" s="2491"/>
      <c r="K110" s="2482"/>
      <c r="L110" s="2482"/>
      <c r="M110" s="2482"/>
      <c r="N110" s="2480"/>
      <c r="O110" s="2482"/>
      <c r="P110" s="1867"/>
      <c r="Q110" s="1871"/>
      <c r="R110" s="1871"/>
      <c r="S110" s="266"/>
      <c r="T110" s="266"/>
      <c r="U110" s="266"/>
      <c r="V110" s="266"/>
      <c r="W110" s="1872"/>
      <c r="X110" s="1193"/>
      <c r="Y110" s="1193"/>
      <c r="Z110" s="1193"/>
      <c r="AA110" s="1193"/>
      <c r="AB110" s="1193"/>
      <c r="AC110" s="1193"/>
      <c r="AD110" s="1193"/>
      <c r="AE110" s="1193"/>
      <c r="AF110" s="1193"/>
      <c r="AG110" s="1193"/>
      <c r="AH110" s="1193"/>
      <c r="AI110" s="1193"/>
      <c r="AJ110" s="1193"/>
      <c r="AK110" s="1193"/>
      <c r="AL110" s="1193"/>
      <c r="AM110" s="1193"/>
      <c r="AN110" s="1193"/>
      <c r="AO110" s="1193"/>
      <c r="AP110" s="1193"/>
      <c r="AQ110" s="1193"/>
      <c r="AR110" s="1394">
        <v>0</v>
      </c>
    </row>
    <row r="111" spans="1:44" s="1779" customFormat="1" ht="17.25" customHeight="1">
      <c r="A111" s="258"/>
      <c r="C111" s="257"/>
      <c r="D111" s="2495"/>
      <c r="E111" s="2484"/>
      <c r="F111" s="2497"/>
      <c r="G111" s="2484"/>
      <c r="H111" s="2486"/>
      <c r="I111" s="2488"/>
      <c r="J111" s="2491"/>
      <c r="K111" s="2482"/>
      <c r="L111" s="1871"/>
      <c r="M111" s="1871"/>
      <c r="N111" s="1871"/>
      <c r="O111" s="1871"/>
      <c r="P111" s="1871"/>
      <c r="Q111" s="1871"/>
      <c r="R111" s="1871"/>
      <c r="S111" s="266"/>
      <c r="T111" s="266"/>
      <c r="U111" s="266"/>
      <c r="V111" s="266"/>
      <c r="W111" s="1872"/>
      <c r="X111" s="1193"/>
      <c r="Y111" s="1193"/>
      <c r="Z111" s="1193"/>
      <c r="AA111" s="1193"/>
      <c r="AB111" s="1193"/>
      <c r="AC111" s="1193"/>
      <c r="AD111" s="1193"/>
      <c r="AE111" s="1193"/>
      <c r="AF111" s="1193"/>
      <c r="AG111" s="1193"/>
      <c r="AH111" s="1193"/>
      <c r="AI111" s="1193"/>
      <c r="AJ111" s="1193"/>
      <c r="AK111" s="1193"/>
      <c r="AL111" s="1193"/>
      <c r="AM111" s="1193"/>
      <c r="AN111" s="1193"/>
      <c r="AO111" s="1193"/>
      <c r="AP111" s="1193"/>
      <c r="AQ111" s="1193"/>
      <c r="AR111" s="1394">
        <v>0</v>
      </c>
    </row>
    <row r="112" spans="1:44" s="1779" customFormat="1" ht="17.25" customHeight="1">
      <c r="A112" s="258"/>
      <c r="C112" s="257"/>
      <c r="D112" s="2495"/>
      <c r="E112" s="2484"/>
      <c r="F112" s="2498"/>
      <c r="G112" s="2484"/>
      <c r="H112" s="1226"/>
      <c r="I112" s="1869"/>
      <c r="J112" s="1869"/>
      <c r="K112" s="1869"/>
      <c r="L112" s="1869"/>
      <c r="M112" s="1869"/>
      <c r="N112" s="1869"/>
      <c r="O112" s="1869"/>
      <c r="P112" s="1869"/>
      <c r="Q112" s="1869"/>
      <c r="R112" s="1869"/>
      <c r="S112" s="1228"/>
      <c r="T112" s="1228"/>
      <c r="U112" s="1228"/>
      <c r="V112" s="1228"/>
      <c r="W112" s="1870"/>
      <c r="X112" s="1193"/>
      <c r="Y112" s="1193"/>
      <c r="Z112" s="1193"/>
      <c r="AA112" s="1193"/>
      <c r="AB112" s="1193"/>
      <c r="AC112" s="1193"/>
      <c r="AD112" s="1193"/>
      <c r="AE112" s="1193"/>
      <c r="AF112" s="1193"/>
      <c r="AG112" s="1193"/>
      <c r="AH112" s="1193"/>
      <c r="AI112" s="1193"/>
      <c r="AJ112" s="1193"/>
      <c r="AK112" s="1193"/>
      <c r="AL112" s="1193"/>
      <c r="AM112" s="1193"/>
      <c r="AN112" s="1193"/>
      <c r="AO112" s="1193"/>
      <c r="AP112" s="1193"/>
      <c r="AQ112" s="1193"/>
      <c r="AR112" s="1394">
        <v>0</v>
      </c>
    </row>
    <row r="113" spans="1:44" s="1779" customFormat="1" ht="11.25" hidden="1" customHeight="1">
      <c r="A113" s="214"/>
      <c r="B113" s="214"/>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146"/>
      <c r="D114" s="2494">
        <v>1</v>
      </c>
      <c r="E114" s="2483" t="s">
        <v>329</v>
      </c>
      <c r="F114" s="2496" t="s">
        <v>19</v>
      </c>
      <c r="G114" s="2483"/>
      <c r="H114" s="2485"/>
      <c r="I114" s="2487"/>
      <c r="J114" s="2489"/>
      <c r="K114" s="2481"/>
      <c r="L114" s="2481"/>
      <c r="M114" s="2481"/>
      <c r="N114" s="2492"/>
      <c r="O114" s="2481"/>
      <c r="P114" s="2481"/>
      <c r="Q114" s="2481"/>
      <c r="R114" s="2479"/>
      <c r="S114" s="2481"/>
      <c r="T114" s="1397"/>
      <c r="U114" s="1397"/>
      <c r="V114" s="1399"/>
      <c r="W114" s="1223"/>
      <c r="Y114" s="1194"/>
      <c r="Z114" s="1194"/>
      <c r="AA114" s="1194"/>
      <c r="AB114" s="1194"/>
      <c r="AC114" s="1194" t="s">
        <v>330</v>
      </c>
      <c r="AD114" s="1194" t="s">
        <v>331</v>
      </c>
      <c r="AE114" s="1194" t="s">
        <v>332</v>
      </c>
      <c r="AF114" s="1194" t="s">
        <v>333</v>
      </c>
      <c r="AG114" s="1194"/>
      <c r="AH114" s="1194" t="str">
        <f>IF($E$114=0,"",$E$114)</f>
        <v>Тариф на горячую воду (горячее водоснабжение)</v>
      </c>
      <c r="AI114" s="1194" t="str">
        <f>IF($G$114=0,"",$G$114)</f>
        <v/>
      </c>
      <c r="AJ114" s="1194" t="str">
        <f>IF($J$114=0,"",$J$114)</f>
        <v/>
      </c>
      <c r="AK114" s="1194" t="str">
        <f>IF($K$114="нет","без дифференциации",IF($N$114=0,"",$N$114))</f>
        <v/>
      </c>
      <c r="AL114" s="1194" t="str">
        <f>IF($O$114="нет","без дифференциации",IF($R$114=0,"",$R$114))</f>
        <v/>
      </c>
      <c r="AM114" s="1194" t="str">
        <f>IF($S$114="нет","без дифференциации",IF($V$114=0,"",$V$114))</f>
        <v/>
      </c>
      <c r="AN114" s="1194">
        <f>$I$114</f>
        <v>0</v>
      </c>
      <c r="AO114" s="1194" t="str">
        <f>$I$114&amp;"."&amp;$M$114</f>
        <v>.</v>
      </c>
      <c r="AP114" s="1194" t="str">
        <f>$I$114&amp;"."&amp;$M$114&amp;"."&amp;$Q$114</f>
        <v>..</v>
      </c>
      <c r="AQ114" s="1194" t="str">
        <f>$I$114&amp;"."&amp;$M$114&amp;"."&amp;$Q$114&amp;"."&amp;$U$114</f>
        <v>...</v>
      </c>
      <c r="AR114" s="1394">
        <v>0</v>
      </c>
    </row>
    <row r="115" spans="1:44" s="1779" customFormat="1" ht="17.25" hidden="1" customHeight="1">
      <c r="A115" s="258"/>
      <c r="C115" s="257"/>
      <c r="D115" s="2494"/>
      <c r="E115" s="2483"/>
      <c r="F115" s="2497"/>
      <c r="G115" s="2483"/>
      <c r="H115" s="2486"/>
      <c r="I115" s="2488"/>
      <c r="J115" s="2490"/>
      <c r="K115" s="2482"/>
      <c r="L115" s="2482"/>
      <c r="M115" s="2482"/>
      <c r="N115" s="2493"/>
      <c r="O115" s="2482"/>
      <c r="P115" s="2482"/>
      <c r="Q115" s="2482"/>
      <c r="R115" s="2480"/>
      <c r="S115" s="2482"/>
      <c r="T115" s="1224"/>
      <c r="U115" s="1224"/>
      <c r="V115" s="1224"/>
      <c r="W115" s="1225"/>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9" customFormat="1" ht="17.25" hidden="1" customHeight="1">
      <c r="A116" s="258"/>
      <c r="C116" s="146"/>
      <c r="D116" s="2494"/>
      <c r="E116" s="2483"/>
      <c r="F116" s="2497"/>
      <c r="G116" s="2483"/>
      <c r="H116" s="2486"/>
      <c r="I116" s="2488"/>
      <c r="J116" s="2491"/>
      <c r="K116" s="2482"/>
      <c r="L116" s="2482"/>
      <c r="M116" s="2482"/>
      <c r="N116" s="2480"/>
      <c r="O116" s="2482"/>
      <c r="P116" s="1398"/>
      <c r="Q116" s="1224"/>
      <c r="R116" s="1224"/>
      <c r="S116" s="266"/>
      <c r="T116" s="266"/>
      <c r="U116" s="266"/>
      <c r="V116" s="266"/>
      <c r="W116" s="1225"/>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4">
        <v>0</v>
      </c>
    </row>
    <row r="117" spans="1:44" s="1779" customFormat="1" ht="17.25" hidden="1" customHeight="1">
      <c r="A117" s="258"/>
      <c r="C117" s="257"/>
      <c r="D117" s="2494"/>
      <c r="E117" s="2483"/>
      <c r="F117" s="2497"/>
      <c r="G117" s="2483"/>
      <c r="H117" s="2486"/>
      <c r="I117" s="2488"/>
      <c r="J117" s="2491"/>
      <c r="K117" s="2482"/>
      <c r="L117" s="1224"/>
      <c r="M117" s="1224"/>
      <c r="N117" s="1224"/>
      <c r="O117" s="1224"/>
      <c r="P117" s="1224"/>
      <c r="Q117" s="1224"/>
      <c r="R117" s="1224"/>
      <c r="S117" s="266"/>
      <c r="T117" s="266"/>
      <c r="U117" s="266"/>
      <c r="V117" s="266"/>
      <c r="W117" s="1225"/>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9" customFormat="1" ht="17.25" hidden="1" customHeight="1">
      <c r="A118" s="258"/>
      <c r="C118" s="257"/>
      <c r="D118" s="2495"/>
      <c r="E118" s="2484"/>
      <c r="F118" s="2498"/>
      <c r="G118" s="2484"/>
      <c r="H118" s="1226"/>
      <c r="I118" s="1227"/>
      <c r="J118" s="1227"/>
      <c r="K118" s="1227"/>
      <c r="L118" s="1227"/>
      <c r="M118" s="1227"/>
      <c r="N118" s="1227"/>
      <c r="O118" s="1227"/>
      <c r="P118" s="1227"/>
      <c r="Q118" s="1227"/>
      <c r="R118" s="1227"/>
      <c r="S118" s="1228"/>
      <c r="T118" s="1228"/>
      <c r="U118" s="1228"/>
      <c r="V118" s="1228"/>
      <c r="W118" s="1229"/>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9" customFormat="1" ht="17.25" hidden="1" customHeight="1">
      <c r="A119" s="258"/>
      <c r="C119" s="146"/>
      <c r="D119" s="2494">
        <v>2</v>
      </c>
      <c r="E119" s="2483" t="s">
        <v>334</v>
      </c>
      <c r="F119" s="2496" t="s">
        <v>19</v>
      </c>
      <c r="G119" s="2483"/>
      <c r="H119" s="2485"/>
      <c r="I119" s="2487"/>
      <c r="J119" s="2489"/>
      <c r="K119" s="2481"/>
      <c r="L119" s="2481"/>
      <c r="M119" s="2481"/>
      <c r="N119" s="2492"/>
      <c r="O119" s="2481"/>
      <c r="P119" s="2481"/>
      <c r="Q119" s="2481"/>
      <c r="R119" s="2479"/>
      <c r="S119" s="2481"/>
      <c r="T119" s="1397"/>
      <c r="U119" s="1397"/>
      <c r="V119" s="1399"/>
      <c r="W119" s="1223"/>
      <c r="X119" s="1194"/>
      <c r="Y119" s="1194"/>
      <c r="Z119" s="1194"/>
      <c r="AA119" s="1194"/>
      <c r="AB119" s="1194"/>
      <c r="AC119" s="1194" t="s">
        <v>335</v>
      </c>
      <c r="AD119" s="1194" t="s">
        <v>336</v>
      </c>
      <c r="AE119" s="1194" t="s">
        <v>337</v>
      </c>
      <c r="AF119" s="1194" t="s">
        <v>338</v>
      </c>
      <c r="AG119" s="1194"/>
      <c r="AH119" s="1194" t="str">
        <f>IF($E$119=0,"",$E$119)</f>
        <v>Тариф на транспортировку горячей воды</v>
      </c>
      <c r="AI119" s="1194" t="str">
        <f>IF($G$119=0,"",$G$119)</f>
        <v/>
      </c>
      <c r="AJ119" s="1194" t="str">
        <f>IF($J$119=0,"",$J$119)</f>
        <v/>
      </c>
      <c r="AK119" s="1194" t="str">
        <f>IF($K$119="нет","без дифференциации",IF($N$119=0,"",$N$119))</f>
        <v/>
      </c>
      <c r="AL119" s="1194" t="str">
        <f>IF($O$119="нет","без дифференциации",IF($R$119=0,"",$R$119))</f>
        <v/>
      </c>
      <c r="AM119" s="1194" t="str">
        <f>IF($S$119="нет","без дифференциации",IF($V$119=0,"",$V$119))</f>
        <v/>
      </c>
      <c r="AN119" s="1699">
        <f>$I$119</f>
        <v>0</v>
      </c>
      <c r="AO119" s="1194" t="str">
        <f>$I$119&amp;"."&amp;$M$119</f>
        <v>.</v>
      </c>
      <c r="AP119" s="1186" t="str">
        <f>$I$119&amp;"."&amp;$M$119&amp;"."&amp;$Q$119</f>
        <v>..</v>
      </c>
      <c r="AQ119" s="1186" t="str">
        <f>$I$119&amp;"."&amp;$M$119&amp;"."&amp;$Q$119&amp;"."&amp;$U$119</f>
        <v>...</v>
      </c>
      <c r="AR119" s="1394">
        <v>0</v>
      </c>
    </row>
    <row r="120" spans="1:44" s="1779" customFormat="1" ht="17.25" hidden="1" customHeight="1">
      <c r="A120" s="258"/>
      <c r="C120" s="257"/>
      <c r="D120" s="2494"/>
      <c r="E120" s="2483"/>
      <c r="F120" s="2497"/>
      <c r="G120" s="2483"/>
      <c r="H120" s="2486"/>
      <c r="I120" s="2488"/>
      <c r="J120" s="2490"/>
      <c r="K120" s="2482"/>
      <c r="L120" s="2482"/>
      <c r="M120" s="2482"/>
      <c r="N120" s="2493"/>
      <c r="O120" s="2482"/>
      <c r="P120" s="2482"/>
      <c r="Q120" s="2482"/>
      <c r="R120" s="2480"/>
      <c r="S120" s="2482"/>
      <c r="T120" s="1224"/>
      <c r="U120" s="1224"/>
      <c r="V120" s="1224"/>
      <c r="W120" s="1225"/>
      <c r="X120" s="1186"/>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257"/>
      <c r="D121" s="2495"/>
      <c r="E121" s="2484"/>
      <c r="F121" s="2497"/>
      <c r="G121" s="2484"/>
      <c r="H121" s="2486"/>
      <c r="I121" s="2488"/>
      <c r="J121" s="2491"/>
      <c r="K121" s="2482"/>
      <c r="L121" s="2482"/>
      <c r="M121" s="2482"/>
      <c r="N121" s="2480"/>
      <c r="O121" s="2482"/>
      <c r="P121" s="1398"/>
      <c r="Q121" s="1224"/>
      <c r="R121" s="1224"/>
      <c r="S121" s="266"/>
      <c r="T121" s="266"/>
      <c r="U121" s="266"/>
      <c r="V121" s="266"/>
      <c r="W121" s="1225"/>
      <c r="X121" s="1186"/>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394">
        <v>0</v>
      </c>
    </row>
    <row r="122" spans="1:44" s="1779" customFormat="1" ht="17.25" hidden="1" customHeight="1">
      <c r="A122" s="258"/>
      <c r="C122" s="257"/>
      <c r="D122" s="2495"/>
      <c r="E122" s="2484"/>
      <c r="F122" s="2497"/>
      <c r="G122" s="2484"/>
      <c r="H122" s="2486"/>
      <c r="I122" s="2488"/>
      <c r="J122" s="2491"/>
      <c r="K122" s="2482"/>
      <c r="L122" s="1224"/>
      <c r="M122" s="1224"/>
      <c r="N122" s="1224"/>
      <c r="O122" s="1224"/>
      <c r="P122" s="1224"/>
      <c r="Q122" s="1224"/>
      <c r="R122" s="1224"/>
      <c r="S122" s="266"/>
      <c r="T122" s="266"/>
      <c r="U122" s="266"/>
      <c r="V122" s="266"/>
      <c r="W122" s="1225"/>
      <c r="X122" s="1186"/>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257"/>
      <c r="D123" s="2495"/>
      <c r="E123" s="2484"/>
      <c r="F123" s="2498"/>
      <c r="G123" s="2484"/>
      <c r="H123" s="1226"/>
      <c r="I123" s="1227"/>
      <c r="J123" s="1227"/>
      <c r="K123" s="1227"/>
      <c r="L123" s="1227"/>
      <c r="M123" s="1227"/>
      <c r="N123" s="1227"/>
      <c r="O123" s="1227"/>
      <c r="P123" s="1227"/>
      <c r="Q123" s="1227"/>
      <c r="R123" s="1227"/>
      <c r="S123" s="1228"/>
      <c r="T123" s="1228"/>
      <c r="U123" s="1228"/>
      <c r="V123" s="1228"/>
      <c r="W123" s="1229"/>
      <c r="X123" s="1186"/>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94">
        <v>0</v>
      </c>
    </row>
    <row r="124" spans="1:44" s="1779" customFormat="1" ht="17.25" hidden="1" customHeight="1">
      <c r="A124" s="258"/>
      <c r="C124" s="146"/>
      <c r="D124" s="2494">
        <v>3</v>
      </c>
      <c r="E124" s="2483" t="s">
        <v>339</v>
      </c>
      <c r="F124" s="2496" t="s">
        <v>19</v>
      </c>
      <c r="G124" s="2483"/>
      <c r="H124" s="2485"/>
      <c r="I124" s="2487"/>
      <c r="J124" s="2489"/>
      <c r="K124" s="2481"/>
      <c r="L124" s="2481"/>
      <c r="M124" s="2481"/>
      <c r="N124" s="2492"/>
      <c r="O124" s="2481"/>
      <c r="P124" s="2481"/>
      <c r="Q124" s="2481"/>
      <c r="R124" s="2479"/>
      <c r="S124" s="2481"/>
      <c r="T124" s="1866"/>
      <c r="U124" s="1866"/>
      <c r="V124" s="1868"/>
      <c r="W124" s="1223"/>
      <c r="X124" s="1194"/>
      <c r="Y124" s="1194"/>
      <c r="Z124" s="1194"/>
      <c r="AA124" s="1194"/>
      <c r="AB124" s="1194"/>
      <c r="AC124" s="1194" t="s">
        <v>340</v>
      </c>
      <c r="AD124" s="1194" t="s">
        <v>341</v>
      </c>
      <c r="AE124" s="1194" t="s">
        <v>342</v>
      </c>
      <c r="AF124" s="1194" t="s">
        <v>343</v>
      </c>
      <c r="AG124" s="1194"/>
      <c r="AH124" s="1194" t="str">
        <f>IF($E$124=0,"",$E$124)</f>
        <v>Тариф на подключение (технологическое присоединение) к централизованной системе горячего водоснабжения</v>
      </c>
      <c r="AI124" s="1194" t="str">
        <f>IF($G$124=0,"",$G$124)</f>
        <v/>
      </c>
      <c r="AJ124" s="1194" t="str">
        <f>IF($J$124=0,"",$J$124)</f>
        <v/>
      </c>
      <c r="AK124" s="1194" t="str">
        <f>IF($K$124="нет","без дифференциации",IF($N$124=0,"",$N$124))</f>
        <v/>
      </c>
      <c r="AL124" s="1194" t="str">
        <f>IF($O$124="нет","без дифференциации",IF($R$124=0,"",$R$124))</f>
        <v/>
      </c>
      <c r="AM124" s="1194" t="str">
        <f>IF($S$124="нет","без дифференциации",IF($V$124=0,"",$V$124))</f>
        <v/>
      </c>
      <c r="AN124" s="1699">
        <f>$I$124</f>
        <v>0</v>
      </c>
      <c r="AO124" s="1194" t="str">
        <f>$I$124&amp;"."&amp;$M$124</f>
        <v>.</v>
      </c>
      <c r="AP124" s="1193" t="str">
        <f>$I$124&amp;"."&amp;$M$124&amp;"."&amp;$Q$124</f>
        <v>..</v>
      </c>
      <c r="AQ124" s="1193" t="str">
        <f>$I$124&amp;"."&amp;$M$124&amp;"."&amp;$Q$124&amp;"."&amp;$U$124</f>
        <v>...</v>
      </c>
      <c r="AR124" s="1394">
        <v>0</v>
      </c>
    </row>
    <row r="125" spans="1:44" s="1779" customFormat="1" ht="17.25" hidden="1" customHeight="1">
      <c r="A125" s="258"/>
      <c r="C125" s="257"/>
      <c r="D125" s="2494"/>
      <c r="E125" s="2483"/>
      <c r="F125" s="2497"/>
      <c r="G125" s="2483"/>
      <c r="H125" s="2486"/>
      <c r="I125" s="2488"/>
      <c r="J125" s="2490"/>
      <c r="K125" s="2482"/>
      <c r="L125" s="2482"/>
      <c r="M125" s="2482"/>
      <c r="N125" s="2493"/>
      <c r="O125" s="2482"/>
      <c r="P125" s="2482"/>
      <c r="Q125" s="2482"/>
      <c r="R125" s="2480"/>
      <c r="S125" s="2482"/>
      <c r="T125" s="1871"/>
      <c r="U125" s="1871"/>
      <c r="V125" s="1871"/>
      <c r="W125" s="1872"/>
      <c r="X125" s="1193"/>
      <c r="Y125" s="1193"/>
      <c r="Z125" s="1193"/>
      <c r="AA125" s="1193"/>
      <c r="AB125" s="1193"/>
      <c r="AC125" s="1193"/>
      <c r="AD125" s="1193"/>
      <c r="AE125" s="1193"/>
      <c r="AF125" s="1193"/>
      <c r="AG125" s="1193"/>
      <c r="AH125" s="1193"/>
      <c r="AI125" s="1193"/>
      <c r="AJ125" s="1193"/>
      <c r="AK125" s="1193"/>
      <c r="AL125" s="1193"/>
      <c r="AM125" s="1193"/>
      <c r="AN125" s="1193"/>
      <c r="AO125" s="1193"/>
      <c r="AP125" s="1193"/>
      <c r="AQ125" s="1193"/>
      <c r="AR125" s="1394">
        <v>0</v>
      </c>
    </row>
    <row r="126" spans="1:44" s="1779" customFormat="1" ht="17.25" hidden="1" customHeight="1">
      <c r="A126" s="258"/>
      <c r="C126" s="257"/>
      <c r="D126" s="2495"/>
      <c r="E126" s="2484"/>
      <c r="F126" s="2497"/>
      <c r="G126" s="2484"/>
      <c r="H126" s="2486"/>
      <c r="I126" s="2488"/>
      <c r="J126" s="2491"/>
      <c r="K126" s="2482"/>
      <c r="L126" s="2482"/>
      <c r="M126" s="2482"/>
      <c r="N126" s="2480"/>
      <c r="O126" s="2482"/>
      <c r="P126" s="1867"/>
      <c r="Q126" s="1871"/>
      <c r="R126" s="1871"/>
      <c r="S126" s="266"/>
      <c r="T126" s="266"/>
      <c r="U126" s="266"/>
      <c r="V126" s="266"/>
      <c r="W126" s="1872"/>
      <c r="X126" s="1193"/>
      <c r="Y126" s="1193"/>
      <c r="Z126" s="1193"/>
      <c r="AA126" s="1193"/>
      <c r="AB126" s="1193"/>
      <c r="AC126" s="1193"/>
      <c r="AD126" s="1193"/>
      <c r="AE126" s="1193"/>
      <c r="AF126" s="1193"/>
      <c r="AG126" s="1193"/>
      <c r="AH126" s="1193"/>
      <c r="AI126" s="1193"/>
      <c r="AJ126" s="1193"/>
      <c r="AK126" s="1193"/>
      <c r="AL126" s="1193"/>
      <c r="AM126" s="1193"/>
      <c r="AN126" s="1193"/>
      <c r="AO126" s="1193"/>
      <c r="AP126" s="1193"/>
      <c r="AQ126" s="1193"/>
      <c r="AR126" s="1394">
        <v>0</v>
      </c>
    </row>
    <row r="127" spans="1:44" s="1779" customFormat="1" ht="17.25" hidden="1" customHeight="1">
      <c r="A127" s="258"/>
      <c r="C127" s="257"/>
      <c r="D127" s="2495"/>
      <c r="E127" s="2484"/>
      <c r="F127" s="2497"/>
      <c r="G127" s="2484"/>
      <c r="H127" s="2486"/>
      <c r="I127" s="2488"/>
      <c r="J127" s="2491"/>
      <c r="K127" s="2482"/>
      <c r="L127" s="1871"/>
      <c r="M127" s="1871"/>
      <c r="N127" s="1871"/>
      <c r="O127" s="1871"/>
      <c r="P127" s="1871"/>
      <c r="Q127" s="1871"/>
      <c r="R127" s="1871"/>
      <c r="S127" s="266"/>
      <c r="T127" s="266"/>
      <c r="U127" s="266"/>
      <c r="V127" s="266"/>
      <c r="W127" s="1872"/>
      <c r="X127" s="1193"/>
      <c r="Y127" s="1193"/>
      <c r="Z127" s="1193"/>
      <c r="AA127" s="1193"/>
      <c r="AB127" s="1193"/>
      <c r="AC127" s="1193"/>
      <c r="AD127" s="1193"/>
      <c r="AE127" s="1193"/>
      <c r="AF127" s="1193"/>
      <c r="AG127" s="1193"/>
      <c r="AH127" s="1193"/>
      <c r="AI127" s="1193"/>
      <c r="AJ127" s="1193"/>
      <c r="AK127" s="1193"/>
      <c r="AL127" s="1193"/>
      <c r="AM127" s="1193"/>
      <c r="AN127" s="1193"/>
      <c r="AO127" s="1193"/>
      <c r="AP127" s="1193"/>
      <c r="AQ127" s="1193"/>
      <c r="AR127" s="1394">
        <v>0</v>
      </c>
    </row>
    <row r="128" spans="1:44" s="1779" customFormat="1" ht="17.25" hidden="1" customHeight="1">
      <c r="A128" s="258"/>
      <c r="C128" s="257"/>
      <c r="D128" s="2495"/>
      <c r="E128" s="2484"/>
      <c r="F128" s="2498"/>
      <c r="G128" s="2484"/>
      <c r="H128" s="1226"/>
      <c r="I128" s="1869"/>
      <c r="J128" s="1869"/>
      <c r="K128" s="1869"/>
      <c r="L128" s="1869"/>
      <c r="M128" s="1869"/>
      <c r="N128" s="1869"/>
      <c r="O128" s="1869"/>
      <c r="P128" s="1869"/>
      <c r="Q128" s="1869"/>
      <c r="R128" s="1869"/>
      <c r="S128" s="1228"/>
      <c r="T128" s="1228"/>
      <c r="U128" s="1228"/>
      <c r="V128" s="1228"/>
      <c r="W128" s="1870"/>
      <c r="X128" s="1193"/>
      <c r="Y128" s="1193"/>
      <c r="Z128" s="1193"/>
      <c r="AA128" s="1193"/>
      <c r="AB128" s="1193"/>
      <c r="AC128" s="1193"/>
      <c r="AD128" s="1193"/>
      <c r="AE128" s="1193"/>
      <c r="AF128" s="1193"/>
      <c r="AG128" s="1193"/>
      <c r="AH128" s="1193"/>
      <c r="AI128" s="1193"/>
      <c r="AJ128" s="1193"/>
      <c r="AK128" s="1193"/>
      <c r="AL128" s="1193"/>
      <c r="AM128" s="1193"/>
      <c r="AN128" s="1193"/>
      <c r="AO128" s="1193"/>
      <c r="AP128" s="1193"/>
      <c r="AQ128" s="1193"/>
      <c r="AR128" s="1394">
        <v>0</v>
      </c>
    </row>
    <row r="129" spans="1:44" s="1779" customFormat="1" ht="11.25" hidden="1" customHeight="1">
      <c r="A129" s="214"/>
      <c r="B129" s="214"/>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146"/>
      <c r="D130" s="2494">
        <v>1</v>
      </c>
      <c r="E130" s="2483" t="s">
        <v>344</v>
      </c>
      <c r="F130" s="2496" t="s">
        <v>19</v>
      </c>
      <c r="G130" s="2483"/>
      <c r="H130" s="2485"/>
      <c r="I130" s="2487"/>
      <c r="J130" s="2489"/>
      <c r="K130" s="2481"/>
      <c r="L130" s="2481"/>
      <c r="M130" s="2481"/>
      <c r="N130" s="2492"/>
      <c r="O130" s="2481"/>
      <c r="P130" s="2481"/>
      <c r="Q130" s="2481"/>
      <c r="R130" s="2479"/>
      <c r="S130" s="2481"/>
      <c r="T130" s="1397"/>
      <c r="U130" s="1397"/>
      <c r="V130" s="1399"/>
      <c r="W130" s="1223"/>
      <c r="Y130" s="1194"/>
      <c r="Z130" s="1194"/>
      <c r="AA130" s="1194"/>
      <c r="AB130" s="1194"/>
      <c r="AC130" s="1194" t="s">
        <v>345</v>
      </c>
      <c r="AD130" s="1194" t="s">
        <v>346</v>
      </c>
      <c r="AE130" s="1194" t="s">
        <v>347</v>
      </c>
      <c r="AF130" s="1194" t="s">
        <v>348</v>
      </c>
      <c r="AG130" s="1194"/>
      <c r="AH130" s="1194" t="str">
        <f>IF($E$130=0,"",$E$130)</f>
        <v>Тариф на водоотведение</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194">
        <f>$I$130</f>
        <v>0</v>
      </c>
      <c r="AO130" s="1194" t="str">
        <f>$I$130&amp;"."&amp;$M$130</f>
        <v>.</v>
      </c>
      <c r="AP130" s="1194" t="str">
        <f>$I$130&amp;"."&amp;$M$130&amp;"."&amp;$Q$130</f>
        <v>..</v>
      </c>
      <c r="AQ130" s="1194" t="str">
        <f>$I$130&amp;"."&amp;$M$130&amp;"."&amp;$Q$130&amp;"."&amp;$U$130</f>
        <v>...</v>
      </c>
      <c r="AR130" s="1394">
        <v>0</v>
      </c>
    </row>
    <row r="131" spans="1:44" s="1779" customFormat="1" ht="17.25" hidden="1" customHeight="1">
      <c r="A131" s="258"/>
      <c r="C131" s="257"/>
      <c r="D131" s="2494"/>
      <c r="E131" s="2483"/>
      <c r="F131" s="2497"/>
      <c r="G131" s="2483"/>
      <c r="H131" s="2486"/>
      <c r="I131" s="2488"/>
      <c r="J131" s="2490"/>
      <c r="K131" s="2482"/>
      <c r="L131" s="2482"/>
      <c r="M131" s="2482"/>
      <c r="N131" s="2493"/>
      <c r="O131" s="2482"/>
      <c r="P131" s="2482"/>
      <c r="Q131" s="2482"/>
      <c r="R131" s="2480"/>
      <c r="S131" s="2482"/>
      <c r="T131" s="1224"/>
      <c r="U131" s="1224"/>
      <c r="V131" s="1224"/>
      <c r="W131" s="1225"/>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9" customFormat="1" ht="17.25" hidden="1" customHeight="1">
      <c r="A132" s="258"/>
      <c r="C132" s="146"/>
      <c r="D132" s="2494"/>
      <c r="E132" s="2483"/>
      <c r="F132" s="2497"/>
      <c r="G132" s="2483"/>
      <c r="H132" s="2486"/>
      <c r="I132" s="2488"/>
      <c r="J132" s="2491"/>
      <c r="K132" s="2482"/>
      <c r="L132" s="2482"/>
      <c r="M132" s="2482"/>
      <c r="N132" s="2480"/>
      <c r="O132" s="2482"/>
      <c r="P132" s="1398"/>
      <c r="Q132" s="1224"/>
      <c r="R132" s="1224"/>
      <c r="S132" s="266"/>
      <c r="T132" s="266"/>
      <c r="U132" s="266"/>
      <c r="V132" s="266"/>
      <c r="W132" s="1225"/>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4">
        <v>0</v>
      </c>
    </row>
    <row r="133" spans="1:44" s="1779" customFormat="1" ht="17.25" hidden="1" customHeight="1">
      <c r="A133" s="258"/>
      <c r="C133" s="257"/>
      <c r="D133" s="2494"/>
      <c r="E133" s="2483"/>
      <c r="F133" s="2497"/>
      <c r="G133" s="2483"/>
      <c r="H133" s="2486"/>
      <c r="I133" s="2488"/>
      <c r="J133" s="2491"/>
      <c r="K133" s="2482"/>
      <c r="L133" s="1224"/>
      <c r="M133" s="1224"/>
      <c r="N133" s="1224"/>
      <c r="O133" s="1224"/>
      <c r="P133" s="1224"/>
      <c r="Q133" s="1224"/>
      <c r="R133" s="1224"/>
      <c r="S133" s="266"/>
      <c r="T133" s="266"/>
      <c r="U133" s="266"/>
      <c r="V133" s="266"/>
      <c r="W133" s="1225"/>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9" customFormat="1" ht="17.25" hidden="1" customHeight="1">
      <c r="A134" s="258"/>
      <c r="C134" s="257"/>
      <c r="D134" s="2495"/>
      <c r="E134" s="2484"/>
      <c r="F134" s="2498"/>
      <c r="G134" s="2484"/>
      <c r="H134" s="1226"/>
      <c r="I134" s="1227"/>
      <c r="J134" s="1227"/>
      <c r="K134" s="1227"/>
      <c r="L134" s="1227"/>
      <c r="M134" s="1227"/>
      <c r="N134" s="1227"/>
      <c r="O134" s="1227"/>
      <c r="P134" s="1227"/>
      <c r="Q134" s="1227"/>
      <c r="R134" s="1227"/>
      <c r="S134" s="1228"/>
      <c r="T134" s="1228"/>
      <c r="U134" s="1228"/>
      <c r="V134" s="1228"/>
      <c r="W134" s="1229"/>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9" customFormat="1" ht="17.25" hidden="1" customHeight="1">
      <c r="A135" s="258"/>
      <c r="C135" s="146"/>
      <c r="D135" s="2494">
        <v>2</v>
      </c>
      <c r="E135" s="2483" t="s">
        <v>349</v>
      </c>
      <c r="F135" s="2496" t="s">
        <v>19</v>
      </c>
      <c r="G135" s="2483"/>
      <c r="H135" s="2485"/>
      <c r="I135" s="2487"/>
      <c r="J135" s="2489"/>
      <c r="K135" s="2481"/>
      <c r="L135" s="2481"/>
      <c r="M135" s="2481"/>
      <c r="N135" s="2492"/>
      <c r="O135" s="2481"/>
      <c r="P135" s="2481"/>
      <c r="Q135" s="2481"/>
      <c r="R135" s="2479"/>
      <c r="S135" s="2481"/>
      <c r="T135" s="1397"/>
      <c r="U135" s="1397"/>
      <c r="V135" s="1399"/>
      <c r="W135" s="1223"/>
      <c r="X135" s="1194"/>
      <c r="Y135" s="1194"/>
      <c r="Z135" s="1194"/>
      <c r="AA135" s="1194"/>
      <c r="AB135" s="1194"/>
      <c r="AC135" s="1194" t="s">
        <v>350</v>
      </c>
      <c r="AD135" s="1194" t="s">
        <v>351</v>
      </c>
      <c r="AE135" s="1194" t="s">
        <v>352</v>
      </c>
      <c r="AF135" s="1194" t="s">
        <v>353</v>
      </c>
      <c r="AG135" s="1194"/>
      <c r="AH135" s="1194" t="str">
        <f>IF($E$135=0,"",$E$135)</f>
        <v>Тариф на транспортировку сточных вод</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9">
        <f>$I$135</f>
        <v>0</v>
      </c>
      <c r="AO135" s="1194" t="str">
        <f>$I$135&amp;"."&amp;$M$135</f>
        <v>.</v>
      </c>
      <c r="AP135" s="1186" t="str">
        <f>$I$135&amp;"."&amp;$M$135&amp;"."&amp;$Q$135</f>
        <v>..</v>
      </c>
      <c r="AQ135" s="1186" t="str">
        <f>$I$135&amp;"."&amp;$M$135&amp;"."&amp;$Q$135&amp;"."&amp;$U$135</f>
        <v>...</v>
      </c>
      <c r="AR135" s="1394">
        <v>0</v>
      </c>
    </row>
    <row r="136" spans="1:44" s="1779" customFormat="1" ht="17.25" hidden="1" customHeight="1">
      <c r="A136" s="258"/>
      <c r="C136" s="257"/>
      <c r="D136" s="2494"/>
      <c r="E136" s="2483"/>
      <c r="F136" s="2497"/>
      <c r="G136" s="2483"/>
      <c r="H136" s="2486"/>
      <c r="I136" s="2488"/>
      <c r="J136" s="2490"/>
      <c r="K136" s="2482"/>
      <c r="L136" s="2482"/>
      <c r="M136" s="2482"/>
      <c r="N136" s="2493"/>
      <c r="O136" s="2482"/>
      <c r="P136" s="2482"/>
      <c r="Q136" s="2482"/>
      <c r="R136" s="2480"/>
      <c r="S136" s="2482"/>
      <c r="T136" s="1224"/>
      <c r="U136" s="1224"/>
      <c r="V136" s="1224"/>
      <c r="W136" s="1225"/>
      <c r="X136" s="1186"/>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94">
        <v>0</v>
      </c>
    </row>
    <row r="137" spans="1:44" s="1779" customFormat="1" ht="17.25" hidden="1" customHeight="1">
      <c r="A137" s="258"/>
      <c r="C137" s="257"/>
      <c r="D137" s="2495"/>
      <c r="E137" s="2484"/>
      <c r="F137" s="2497"/>
      <c r="G137" s="2484"/>
      <c r="H137" s="2486"/>
      <c r="I137" s="2488"/>
      <c r="J137" s="2491"/>
      <c r="K137" s="2482"/>
      <c r="L137" s="2482"/>
      <c r="M137" s="2482"/>
      <c r="N137" s="2480"/>
      <c r="O137" s="2482"/>
      <c r="P137" s="1398"/>
      <c r="Q137" s="1224"/>
      <c r="R137" s="1224"/>
      <c r="S137" s="266"/>
      <c r="T137" s="266"/>
      <c r="U137" s="266"/>
      <c r="V137" s="266"/>
      <c r="W137" s="1225"/>
      <c r="X137" s="1186"/>
      <c r="Y137" s="1186"/>
      <c r="Z137" s="1186"/>
      <c r="AA137" s="1186"/>
      <c r="AB137" s="1186"/>
      <c r="AC137" s="1186"/>
      <c r="AD137" s="1186"/>
      <c r="AE137" s="1186"/>
      <c r="AF137" s="1186"/>
      <c r="AG137" s="1186"/>
      <c r="AH137" s="1186"/>
      <c r="AI137" s="1186"/>
      <c r="AJ137" s="1186"/>
      <c r="AK137" s="1186"/>
      <c r="AL137" s="1186"/>
      <c r="AM137" s="1186"/>
      <c r="AN137" s="1186"/>
      <c r="AO137" s="1186"/>
      <c r="AP137" s="1186"/>
      <c r="AQ137" s="1186"/>
      <c r="AR137" s="1394">
        <v>0</v>
      </c>
    </row>
    <row r="138" spans="1:44" s="1779" customFormat="1" ht="17.25" hidden="1" customHeight="1">
      <c r="A138" s="258"/>
      <c r="C138" s="257"/>
      <c r="D138" s="2495"/>
      <c r="E138" s="2484"/>
      <c r="F138" s="2497"/>
      <c r="G138" s="2484"/>
      <c r="H138" s="2486"/>
      <c r="I138" s="2488"/>
      <c r="J138" s="2491"/>
      <c r="K138" s="2482"/>
      <c r="L138" s="1224"/>
      <c r="M138" s="1224"/>
      <c r="N138" s="1224"/>
      <c r="O138" s="1224"/>
      <c r="P138" s="1224"/>
      <c r="Q138" s="1224"/>
      <c r="R138" s="1224"/>
      <c r="S138" s="266"/>
      <c r="T138" s="266"/>
      <c r="U138" s="266"/>
      <c r="V138" s="266"/>
      <c r="W138" s="1225"/>
      <c r="X138" s="1186"/>
      <c r="Y138" s="1186"/>
      <c r="Z138" s="1186"/>
      <c r="AA138" s="1186"/>
      <c r="AB138" s="1186"/>
      <c r="AC138" s="1186"/>
      <c r="AD138" s="1186"/>
      <c r="AE138" s="1186"/>
      <c r="AF138" s="1186"/>
      <c r="AG138" s="1186"/>
      <c r="AH138" s="1186"/>
      <c r="AI138" s="1186"/>
      <c r="AJ138" s="1186"/>
      <c r="AK138" s="1186"/>
      <c r="AL138" s="1186"/>
      <c r="AM138" s="1186"/>
      <c r="AN138" s="1186"/>
      <c r="AO138" s="1186"/>
      <c r="AP138" s="1186"/>
      <c r="AQ138" s="1186"/>
      <c r="AR138" s="1394">
        <v>0</v>
      </c>
    </row>
    <row r="139" spans="1:44" s="1779" customFormat="1" ht="17.25" hidden="1" customHeight="1">
      <c r="A139" s="258"/>
      <c r="C139" s="257"/>
      <c r="D139" s="2495"/>
      <c r="E139" s="2484"/>
      <c r="F139" s="2498"/>
      <c r="G139" s="2484"/>
      <c r="H139" s="1226"/>
      <c r="I139" s="1227"/>
      <c r="J139" s="1227"/>
      <c r="K139" s="1227"/>
      <c r="L139" s="1227"/>
      <c r="M139" s="1227"/>
      <c r="N139" s="1227"/>
      <c r="O139" s="1227"/>
      <c r="P139" s="1227"/>
      <c r="Q139" s="1227"/>
      <c r="R139" s="1227"/>
      <c r="S139" s="1228"/>
      <c r="T139" s="1228"/>
      <c r="U139" s="1228"/>
      <c r="V139" s="1228"/>
      <c r="W139" s="1229"/>
      <c r="X139" s="1186"/>
      <c r="Y139" s="1186"/>
      <c r="Z139" s="1186"/>
      <c r="AA139" s="1186"/>
      <c r="AB139" s="1186"/>
      <c r="AC139" s="1186"/>
      <c r="AD139" s="1186"/>
      <c r="AE139" s="1186"/>
      <c r="AF139" s="1186"/>
      <c r="AG139" s="1186"/>
      <c r="AH139" s="1186"/>
      <c r="AI139" s="1186"/>
      <c r="AJ139" s="1186"/>
      <c r="AK139" s="1186"/>
      <c r="AL139" s="1186"/>
      <c r="AM139" s="1186"/>
      <c r="AN139" s="1186"/>
      <c r="AO139" s="1186"/>
      <c r="AP139" s="1186"/>
      <c r="AQ139" s="1186"/>
      <c r="AR139" s="1394">
        <v>0</v>
      </c>
    </row>
    <row r="140" spans="1:44" s="1779" customFormat="1" ht="17.25" hidden="1" customHeight="1">
      <c r="A140" s="258"/>
      <c r="C140" s="146"/>
      <c r="D140" s="2494">
        <v>3</v>
      </c>
      <c r="E140" s="2483" t="s">
        <v>354</v>
      </c>
      <c r="F140" s="2496" t="s">
        <v>19</v>
      </c>
      <c r="G140" s="2483"/>
      <c r="H140" s="2485"/>
      <c r="I140" s="2487"/>
      <c r="J140" s="2489"/>
      <c r="K140" s="2481"/>
      <c r="L140" s="2481"/>
      <c r="M140" s="2481"/>
      <c r="N140" s="2492"/>
      <c r="O140" s="2481"/>
      <c r="P140" s="2481"/>
      <c r="Q140" s="2481"/>
      <c r="R140" s="2479"/>
      <c r="S140" s="2481"/>
      <c r="T140" s="1866"/>
      <c r="U140" s="1866"/>
      <c r="V140" s="1868"/>
      <c r="W140" s="1223"/>
      <c r="X140" s="1194"/>
      <c r="Y140" s="1194"/>
      <c r="Z140" s="1194"/>
      <c r="AA140" s="1194"/>
      <c r="AB140" s="1194"/>
      <c r="AC140" s="1194" t="s">
        <v>355</v>
      </c>
      <c r="AD140" s="1194" t="s">
        <v>356</v>
      </c>
      <c r="AE140" s="1194" t="s">
        <v>357</v>
      </c>
      <c r="AF140" s="1194" t="s">
        <v>358</v>
      </c>
      <c r="AG140" s="1194"/>
      <c r="AH140" s="1194" t="str">
        <f>IF($E$140=0,"",$E$140)</f>
        <v>Тариф на подключение (технологическое присоединение) к централизованной системе водоотведения</v>
      </c>
      <c r="AI140" s="1194" t="str">
        <f>IF($G$140=0,"",$G$140)</f>
        <v/>
      </c>
      <c r="AJ140" s="1194" t="str">
        <f>IF($J$140=0,"",$J$140)</f>
        <v/>
      </c>
      <c r="AK140" s="1194" t="str">
        <f>IF($K$140="нет","без дифференциации",IF($N$140=0,"",$N$140))</f>
        <v/>
      </c>
      <c r="AL140" s="1194" t="str">
        <f>IF($O$140="нет","без дифференциации",IF($R$140=0,"",$R$140))</f>
        <v/>
      </c>
      <c r="AM140" s="1194" t="str">
        <f>IF($S$140="нет","без дифференциации",IF($V$140=0,"",$V$140))</f>
        <v/>
      </c>
      <c r="AN140" s="1699">
        <f>$I$140</f>
        <v>0</v>
      </c>
      <c r="AO140" s="1194" t="str">
        <f>$I$140&amp;"."&amp;$M$140</f>
        <v>.</v>
      </c>
      <c r="AP140" s="1193" t="str">
        <f>$I$140&amp;"."&amp;$M$140&amp;"."&amp;$Q$140</f>
        <v>..</v>
      </c>
      <c r="AQ140" s="1193" t="str">
        <f>$I$140&amp;"."&amp;$M$140&amp;"."&amp;$Q$140&amp;"."&amp;$U$140</f>
        <v>...</v>
      </c>
      <c r="AR140" s="1394">
        <v>0</v>
      </c>
    </row>
    <row r="141" spans="1:44" s="1779" customFormat="1" ht="17.25" hidden="1" customHeight="1">
      <c r="A141" s="258"/>
      <c r="C141" s="257"/>
      <c r="D141" s="2494"/>
      <c r="E141" s="2483"/>
      <c r="F141" s="2497"/>
      <c r="G141" s="2483"/>
      <c r="H141" s="2486"/>
      <c r="I141" s="2488"/>
      <c r="J141" s="2490"/>
      <c r="K141" s="2482"/>
      <c r="L141" s="2482"/>
      <c r="M141" s="2482"/>
      <c r="N141" s="2493"/>
      <c r="O141" s="2482"/>
      <c r="P141" s="2482"/>
      <c r="Q141" s="2482"/>
      <c r="R141" s="2480"/>
      <c r="S141" s="2482"/>
      <c r="T141" s="1871"/>
      <c r="U141" s="1871"/>
      <c r="V141" s="1871"/>
      <c r="W141" s="1872"/>
      <c r="X141" s="1193"/>
      <c r="Y141" s="1193"/>
      <c r="Z141" s="1193"/>
      <c r="AA141" s="1193"/>
      <c r="AB141" s="1193"/>
      <c r="AC141" s="1193"/>
      <c r="AD141" s="1193"/>
      <c r="AE141" s="1193"/>
      <c r="AF141" s="1193"/>
      <c r="AG141" s="1193"/>
      <c r="AH141" s="1193"/>
      <c r="AI141" s="1193"/>
      <c r="AJ141" s="1193"/>
      <c r="AK141" s="1193"/>
      <c r="AL141" s="1193"/>
      <c r="AM141" s="1193"/>
      <c r="AN141" s="1193"/>
      <c r="AO141" s="1193"/>
      <c r="AP141" s="1193"/>
      <c r="AQ141" s="1193"/>
      <c r="AR141" s="1394">
        <v>0</v>
      </c>
    </row>
    <row r="142" spans="1:44" s="1779" customFormat="1" ht="17.25" hidden="1" customHeight="1">
      <c r="A142" s="258"/>
      <c r="C142" s="257"/>
      <c r="D142" s="2495"/>
      <c r="E142" s="2484"/>
      <c r="F142" s="2497"/>
      <c r="G142" s="2484"/>
      <c r="H142" s="2486"/>
      <c r="I142" s="2488"/>
      <c r="J142" s="2491"/>
      <c r="K142" s="2482"/>
      <c r="L142" s="2482"/>
      <c r="M142" s="2482"/>
      <c r="N142" s="2480"/>
      <c r="O142" s="2482"/>
      <c r="P142" s="1867"/>
      <c r="Q142" s="1871"/>
      <c r="R142" s="1871"/>
      <c r="S142" s="266"/>
      <c r="T142" s="266"/>
      <c r="U142" s="266"/>
      <c r="V142" s="266"/>
      <c r="W142" s="1872"/>
      <c r="X142" s="1193"/>
      <c r="Y142" s="1193"/>
      <c r="Z142" s="1193"/>
      <c r="AA142" s="1193"/>
      <c r="AB142" s="1193"/>
      <c r="AC142" s="1193"/>
      <c r="AD142" s="1193"/>
      <c r="AE142" s="1193"/>
      <c r="AF142" s="1193"/>
      <c r="AG142" s="1193"/>
      <c r="AH142" s="1193"/>
      <c r="AI142" s="1193"/>
      <c r="AJ142" s="1193"/>
      <c r="AK142" s="1193"/>
      <c r="AL142" s="1193"/>
      <c r="AM142" s="1193"/>
      <c r="AN142" s="1193"/>
      <c r="AO142" s="1193"/>
      <c r="AP142" s="1193"/>
      <c r="AQ142" s="1193"/>
      <c r="AR142" s="1394">
        <v>0</v>
      </c>
    </row>
    <row r="143" spans="1:44" s="1779" customFormat="1" ht="17.25" hidden="1" customHeight="1">
      <c r="A143" s="258"/>
      <c r="C143" s="257"/>
      <c r="D143" s="2495"/>
      <c r="E143" s="2484"/>
      <c r="F143" s="2497"/>
      <c r="G143" s="2484"/>
      <c r="H143" s="2486"/>
      <c r="I143" s="2488"/>
      <c r="J143" s="2491"/>
      <c r="K143" s="2482"/>
      <c r="L143" s="1871"/>
      <c r="M143" s="1871"/>
      <c r="N143" s="1871"/>
      <c r="O143" s="1871"/>
      <c r="P143" s="1871"/>
      <c r="Q143" s="1871"/>
      <c r="R143" s="1871"/>
      <c r="S143" s="266"/>
      <c r="T143" s="266"/>
      <c r="U143" s="266"/>
      <c r="V143" s="266"/>
      <c r="W143" s="1872"/>
      <c r="X143" s="1193"/>
      <c r="Y143" s="1193"/>
      <c r="Z143" s="1193"/>
      <c r="AA143" s="1193"/>
      <c r="AB143" s="1193"/>
      <c r="AC143" s="1193"/>
      <c r="AD143" s="1193"/>
      <c r="AE143" s="1193"/>
      <c r="AF143" s="1193"/>
      <c r="AG143" s="1193"/>
      <c r="AH143" s="1193"/>
      <c r="AI143" s="1193"/>
      <c r="AJ143" s="1193"/>
      <c r="AK143" s="1193"/>
      <c r="AL143" s="1193"/>
      <c r="AM143" s="1193"/>
      <c r="AN143" s="1193"/>
      <c r="AO143" s="1193"/>
      <c r="AP143" s="1193"/>
      <c r="AQ143" s="1193"/>
      <c r="AR143" s="1394">
        <v>0</v>
      </c>
    </row>
    <row r="144" spans="1:44" s="1779" customFormat="1" ht="17.25" hidden="1" customHeight="1">
      <c r="A144" s="258"/>
      <c r="C144" s="257"/>
      <c r="D144" s="2495"/>
      <c r="E144" s="2484"/>
      <c r="F144" s="2498"/>
      <c r="G144" s="2484"/>
      <c r="H144" s="1226"/>
      <c r="I144" s="1869"/>
      <c r="J144" s="1869"/>
      <c r="K144" s="1869"/>
      <c r="L144" s="1869"/>
      <c r="M144" s="1869"/>
      <c r="N144" s="1869"/>
      <c r="O144" s="1869"/>
      <c r="P144" s="1869"/>
      <c r="Q144" s="1869"/>
      <c r="R144" s="1869"/>
      <c r="S144" s="1228"/>
      <c r="T144" s="1228"/>
      <c r="U144" s="1228"/>
      <c r="V144" s="1228"/>
      <c r="W144" s="1870"/>
      <c r="X144" s="1193"/>
      <c r="Y144" s="1193"/>
      <c r="Z144" s="1193"/>
      <c r="AA144" s="1193"/>
      <c r="AB144" s="1193"/>
      <c r="AC144" s="1193"/>
      <c r="AD144" s="1193"/>
      <c r="AE144" s="1193"/>
      <c r="AF144" s="1193"/>
      <c r="AG144" s="1193"/>
      <c r="AH144" s="1193"/>
      <c r="AI144" s="1193"/>
      <c r="AJ144" s="1193"/>
      <c r="AK144" s="1193"/>
      <c r="AL144" s="1193"/>
      <c r="AM144" s="1193"/>
      <c r="AN144" s="1193"/>
      <c r="AO144" s="1193"/>
      <c r="AP144" s="1193"/>
      <c r="AQ144" s="1193"/>
      <c r="AR144" s="1394">
        <v>0</v>
      </c>
    </row>
    <row r="145" spans="1:44" ht="11.45" customHeight="1">
      <c r="AR145" s="43">
        <v>11</v>
      </c>
    </row>
    <row r="146" spans="1:44" ht="11.45" customHeight="1">
      <c r="AR146" s="43">
        <v>11</v>
      </c>
    </row>
    <row r="147" spans="1:44" ht="11.45" customHeight="1">
      <c r="AR147" s="43">
        <v>11</v>
      </c>
    </row>
    <row r="148" spans="1:44" ht="11.45" customHeight="1">
      <c r="E148" s="1277"/>
      <c r="AR148" s="43">
        <v>11</v>
      </c>
    </row>
    <row r="149" spans="1:44" ht="11.45" customHeight="1">
      <c r="E149" s="1277"/>
      <c r="AR149" s="43">
        <v>11</v>
      </c>
    </row>
    <row r="150" spans="1:44" ht="11.45" customHeight="1">
      <c r="E150" s="1277"/>
      <c r="AR150" s="43">
        <v>11</v>
      </c>
    </row>
    <row r="151" spans="1:44" ht="11.45" customHeight="1">
      <c r="E151" s="1277"/>
      <c r="AR151" s="43">
        <v>11</v>
      </c>
    </row>
    <row r="152" spans="1:44" ht="11.45" customHeight="1">
      <c r="E152" s="1277"/>
      <c r="AR152" s="43">
        <v>11</v>
      </c>
    </row>
    <row r="153" spans="1:44" ht="11.45" customHeight="1">
      <c r="E153" s="1277"/>
      <c r="AR153" s="43">
        <v>11</v>
      </c>
    </row>
    <row r="154" spans="1:44" ht="11.45" customHeight="1">
      <c r="E154" s="1277"/>
      <c r="AR154" s="43">
        <v>11</v>
      </c>
    </row>
    <row r="155" spans="1:44" ht="11.25" hidden="1" customHeight="1">
      <c r="A155" s="90" t="s">
        <v>82</v>
      </c>
      <c r="B155" s="90">
        <v>0</v>
      </c>
      <c r="C155" s="43">
        <v>3</v>
      </c>
      <c r="D155" s="43">
        <v>6</v>
      </c>
      <c r="E155" s="43">
        <v>42</v>
      </c>
      <c r="F155" s="1210">
        <v>14</v>
      </c>
      <c r="G155" s="43">
        <v>42</v>
      </c>
      <c r="H155" s="43">
        <v>3</v>
      </c>
      <c r="I155" s="43">
        <v>5</v>
      </c>
      <c r="J155" s="43">
        <v>47</v>
      </c>
      <c r="K155" s="43">
        <v>3</v>
      </c>
      <c r="L155" s="43">
        <v>3</v>
      </c>
      <c r="M155" s="43">
        <v>5</v>
      </c>
      <c r="N155" s="43">
        <v>28</v>
      </c>
      <c r="O155" s="43">
        <v>3</v>
      </c>
      <c r="P155" s="43">
        <v>3</v>
      </c>
      <c r="Q155" s="43">
        <v>5</v>
      </c>
      <c r="R155" s="43">
        <v>34</v>
      </c>
      <c r="S155" s="219">
        <v>0</v>
      </c>
      <c r="T155" s="219">
        <v>0</v>
      </c>
      <c r="U155" s="219">
        <v>0</v>
      </c>
      <c r="V155" s="219">
        <v>0</v>
      </c>
      <c r="W155" s="43">
        <v>30</v>
      </c>
      <c r="X155" s="43">
        <v>3</v>
      </c>
      <c r="Y155" s="1186">
        <v>0</v>
      </c>
      <c r="Z155" s="1186">
        <v>0</v>
      </c>
      <c r="AA155" s="1186">
        <v>0</v>
      </c>
      <c r="AB155" s="1186">
        <v>0</v>
      </c>
      <c r="AC155" s="1186">
        <v>0</v>
      </c>
      <c r="AD155" s="1186">
        <v>0</v>
      </c>
      <c r="AE155" s="1186">
        <v>0</v>
      </c>
      <c r="AF155" s="1186">
        <v>0</v>
      </c>
      <c r="AG155" s="1186">
        <v>0</v>
      </c>
      <c r="AH155" s="1186">
        <v>0</v>
      </c>
      <c r="AI155" s="1186">
        <v>0</v>
      </c>
      <c r="AJ155" s="1186">
        <v>0</v>
      </c>
      <c r="AK155" s="1186">
        <v>0</v>
      </c>
      <c r="AL155" s="1186">
        <v>0</v>
      </c>
      <c r="AM155" s="1186">
        <v>0</v>
      </c>
      <c r="AN155" s="1186">
        <v>0</v>
      </c>
      <c r="AO155" s="1186">
        <v>0</v>
      </c>
      <c r="AP155" s="1186">
        <v>0</v>
      </c>
      <c r="AQ155" s="1186">
        <v>0</v>
      </c>
      <c r="AR155" s="43">
        <v>11</v>
      </c>
    </row>
  </sheetData>
  <sheetProtection formatColumns="0" formatRows="0" insertRows="0" deleteColumns="0" deleteRows="0" sort="0" autoFilter="0"/>
  <mergeCells count="408">
    <mergeCell ref="Q93:Q94"/>
    <mergeCell ref="R93:R94"/>
    <mergeCell ref="S93:S94"/>
    <mergeCell ref="W93:W94"/>
    <mergeCell ref="S87:S88"/>
    <mergeCell ref="H87:H96"/>
    <mergeCell ref="I87:I96"/>
    <mergeCell ref="J87:J96"/>
    <mergeCell ref="K87:K96"/>
    <mergeCell ref="L87:L89"/>
    <mergeCell ref="W87:W88"/>
    <mergeCell ref="O87:O89"/>
    <mergeCell ref="P87:P88"/>
    <mergeCell ref="Q87:Q88"/>
    <mergeCell ref="R87:R88"/>
    <mergeCell ref="L90:L92"/>
    <mergeCell ref="M90:M92"/>
    <mergeCell ref="N90:N92"/>
    <mergeCell ref="O90:O92"/>
    <mergeCell ref="P90:P91"/>
    <mergeCell ref="Q90:Q91"/>
    <mergeCell ref="R90:R91"/>
    <mergeCell ref="S90:S91"/>
    <mergeCell ref="W90:W91"/>
    <mergeCell ref="L93:L95"/>
    <mergeCell ref="M93:M95"/>
    <mergeCell ref="N93:N95"/>
    <mergeCell ref="O93:O95"/>
    <mergeCell ref="S79:S80"/>
    <mergeCell ref="H79:H85"/>
    <mergeCell ref="I79:I85"/>
    <mergeCell ref="J79:J85"/>
    <mergeCell ref="K79:K85"/>
    <mergeCell ref="L79:L81"/>
    <mergeCell ref="W79:W80"/>
    <mergeCell ref="O79:O81"/>
    <mergeCell ref="P79:P80"/>
    <mergeCell ref="Q79:Q80"/>
    <mergeCell ref="R79:R80"/>
    <mergeCell ref="L82:L84"/>
    <mergeCell ref="M82:M84"/>
    <mergeCell ref="N82:N84"/>
    <mergeCell ref="O82:O84"/>
    <mergeCell ref="P82:P83"/>
    <mergeCell ref="Q82:Q83"/>
    <mergeCell ref="R82:R83"/>
    <mergeCell ref="S82:S83"/>
    <mergeCell ref="W82:W83"/>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J58:J61"/>
    <mergeCell ref="K58:K61"/>
    <mergeCell ref="L58:L60"/>
    <mergeCell ref="D58:D62"/>
    <mergeCell ref="M108:M110"/>
    <mergeCell ref="M58:M60"/>
    <mergeCell ref="N58:N60"/>
    <mergeCell ref="O58:O60"/>
    <mergeCell ref="P58:P59"/>
    <mergeCell ref="M79:M81"/>
    <mergeCell ref="N79:N81"/>
    <mergeCell ref="M87:M89"/>
    <mergeCell ref="N87:N89"/>
    <mergeCell ref="P93:P94"/>
    <mergeCell ref="D98:D102"/>
    <mergeCell ref="E98:E102"/>
    <mergeCell ref="M98:M100"/>
    <mergeCell ref="D103:D107"/>
    <mergeCell ref="E103:E107"/>
    <mergeCell ref="F103:F107"/>
    <mergeCell ref="G103:G107"/>
    <mergeCell ref="H103:H106"/>
    <mergeCell ref="I103:I106"/>
    <mergeCell ref="J103:J106"/>
    <mergeCell ref="K103:K106"/>
    <mergeCell ref="L103:L105"/>
    <mergeCell ref="F98:F102"/>
    <mergeCell ref="G98:G102"/>
    <mergeCell ref="H98:H101"/>
    <mergeCell ref="I98:I101"/>
    <mergeCell ref="J98:J101"/>
    <mergeCell ref="L98:L100"/>
    <mergeCell ref="S98:S99"/>
    <mergeCell ref="N98:N100"/>
    <mergeCell ref="O98:O100"/>
    <mergeCell ref="P98:P99"/>
    <mergeCell ref="Q98:Q99"/>
    <mergeCell ref="R98:R99"/>
    <mergeCell ref="M103:M105"/>
    <mergeCell ref="N103:N105"/>
    <mergeCell ref="O103:O105"/>
    <mergeCell ref="P103:P104"/>
    <mergeCell ref="Q103:Q104"/>
    <mergeCell ref="R103:R104"/>
    <mergeCell ref="S103:S104"/>
    <mergeCell ref="W9:W10"/>
    <mergeCell ref="O9:R9"/>
    <mergeCell ref="K9:N9"/>
    <mergeCell ref="T11:U11"/>
    <mergeCell ref="S9:V9"/>
    <mergeCell ref="T10:U10"/>
    <mergeCell ref="D79:D86"/>
    <mergeCell ref="E79:E86"/>
    <mergeCell ref="D87:D97"/>
    <mergeCell ref="E87:E97"/>
    <mergeCell ref="F87:F97"/>
    <mergeCell ref="G87:G97"/>
    <mergeCell ref="F79:F86"/>
    <mergeCell ref="G79:G86"/>
    <mergeCell ref="K13:K16"/>
    <mergeCell ref="G18:G22"/>
    <mergeCell ref="K18:K21"/>
    <mergeCell ref="N28:N30"/>
    <mergeCell ref="S63:S64"/>
    <mergeCell ref="E58:E62"/>
    <mergeCell ref="F58:F62"/>
    <mergeCell ref="G58:G62"/>
    <mergeCell ref="H58:H61"/>
    <mergeCell ref="I58:I6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14:M116"/>
    <mergeCell ref="N114:N116"/>
    <mergeCell ref="O114:O116"/>
    <mergeCell ref="P114:P115"/>
    <mergeCell ref="Q114:Q115"/>
    <mergeCell ref="R114:R115"/>
    <mergeCell ref="S114:S115"/>
    <mergeCell ref="O53:O55"/>
    <mergeCell ref="E77:W77"/>
    <mergeCell ref="E69:W69"/>
    <mergeCell ref="E70:W70"/>
    <mergeCell ref="E71:W71"/>
    <mergeCell ref="E72:W72"/>
    <mergeCell ref="E73:W73"/>
    <mergeCell ref="E75:W75"/>
    <mergeCell ref="E76:W76"/>
    <mergeCell ref="K98:K101"/>
    <mergeCell ref="E43:E47"/>
    <mergeCell ref="F43:F47"/>
    <mergeCell ref="H43:H46"/>
    <mergeCell ref="G43:G47"/>
    <mergeCell ref="G33:G37"/>
    <mergeCell ref="K33:K36"/>
    <mergeCell ref="R13:R14"/>
    <mergeCell ref="S13:S14"/>
    <mergeCell ref="M48:M50"/>
    <mergeCell ref="N48:N50"/>
    <mergeCell ref="O48:O50"/>
    <mergeCell ref="N38:N40"/>
    <mergeCell ref="D114:D118"/>
    <mergeCell ref="E114:E118"/>
    <mergeCell ref="F114:F118"/>
    <mergeCell ref="G114:G118"/>
    <mergeCell ref="H114:H117"/>
    <mergeCell ref="I114:I117"/>
    <mergeCell ref="J114:J117"/>
    <mergeCell ref="K114:K117"/>
    <mergeCell ref="L114:L116"/>
    <mergeCell ref="P53:P54"/>
    <mergeCell ref="Q53:Q54"/>
    <mergeCell ref="R53:R54"/>
    <mergeCell ref="S53:S54"/>
    <mergeCell ref="P48:P49"/>
    <mergeCell ref="Q48:Q49"/>
    <mergeCell ref="R48:R49"/>
    <mergeCell ref="S48:S49"/>
    <mergeCell ref="S28:S29"/>
    <mergeCell ref="S130:S131"/>
    <mergeCell ref="D130:D134"/>
    <mergeCell ref="E130:E134"/>
    <mergeCell ref="F130:F134"/>
    <mergeCell ref="G130:G134"/>
    <mergeCell ref="M119:M121"/>
    <mergeCell ref="N119:N121"/>
    <mergeCell ref="O119:O121"/>
    <mergeCell ref="P119:P120"/>
    <mergeCell ref="Q119:Q120"/>
    <mergeCell ref="R119:R120"/>
    <mergeCell ref="S119:S120"/>
    <mergeCell ref="D119:D123"/>
    <mergeCell ref="E119:E123"/>
    <mergeCell ref="F119:F123"/>
    <mergeCell ref="G119:G123"/>
    <mergeCell ref="H119:H122"/>
    <mergeCell ref="I119:I122"/>
    <mergeCell ref="J119:J122"/>
    <mergeCell ref="K119:K122"/>
    <mergeCell ref="L119:L121"/>
    <mergeCell ref="O130:O132"/>
    <mergeCell ref="M135:M137"/>
    <mergeCell ref="N135:N137"/>
    <mergeCell ref="O135:O137"/>
    <mergeCell ref="P130:P131"/>
    <mergeCell ref="Q130:Q131"/>
    <mergeCell ref="R130:R131"/>
    <mergeCell ref="P135:P136"/>
    <mergeCell ref="Q135:Q136"/>
    <mergeCell ref="R135:R136"/>
    <mergeCell ref="F108:F112"/>
    <mergeCell ref="G108:G112"/>
    <mergeCell ref="H108:H111"/>
    <mergeCell ref="I108:I111"/>
    <mergeCell ref="J108:J111"/>
    <mergeCell ref="K108:K111"/>
    <mergeCell ref="L108:L110"/>
    <mergeCell ref="S135:S136"/>
    <mergeCell ref="D135:D139"/>
    <mergeCell ref="E135:E139"/>
    <mergeCell ref="F135:F139"/>
    <mergeCell ref="G135:G139"/>
    <mergeCell ref="H135:H138"/>
    <mergeCell ref="I135:I138"/>
    <mergeCell ref="J135:J138"/>
    <mergeCell ref="K135:K138"/>
    <mergeCell ref="L135:L137"/>
    <mergeCell ref="H130:H133"/>
    <mergeCell ref="I130:I133"/>
    <mergeCell ref="J130:J133"/>
    <mergeCell ref="K130:K133"/>
    <mergeCell ref="L130:L132"/>
    <mergeCell ref="M130:M132"/>
    <mergeCell ref="N130:N132"/>
    <mergeCell ref="N108:N110"/>
    <mergeCell ref="O108:O110"/>
    <mergeCell ref="P108:P109"/>
    <mergeCell ref="Q108:Q109"/>
    <mergeCell ref="R108:R109"/>
    <mergeCell ref="S108:S109"/>
    <mergeCell ref="D124:D128"/>
    <mergeCell ref="E124:E128"/>
    <mergeCell ref="F124:F128"/>
    <mergeCell ref="G124:G128"/>
    <mergeCell ref="H124:H127"/>
    <mergeCell ref="I124:I127"/>
    <mergeCell ref="J124:J127"/>
    <mergeCell ref="K124:K127"/>
    <mergeCell ref="L124:L126"/>
    <mergeCell ref="M124:M126"/>
    <mergeCell ref="N124:N126"/>
    <mergeCell ref="O124:O126"/>
    <mergeCell ref="P124:P125"/>
    <mergeCell ref="Q124:Q125"/>
    <mergeCell ref="R124:R125"/>
    <mergeCell ref="S124:S125"/>
    <mergeCell ref="D108:D112"/>
    <mergeCell ref="E108:E112"/>
    <mergeCell ref="M140:M142"/>
    <mergeCell ref="N140:N142"/>
    <mergeCell ref="O140:O142"/>
    <mergeCell ref="P140:P141"/>
    <mergeCell ref="Q140:Q141"/>
    <mergeCell ref="R140:R141"/>
    <mergeCell ref="S140:S141"/>
    <mergeCell ref="D140:D144"/>
    <mergeCell ref="E140:E144"/>
    <mergeCell ref="F140:F144"/>
    <mergeCell ref="G140:G144"/>
    <mergeCell ref="H140:H143"/>
    <mergeCell ref="I140:I143"/>
    <mergeCell ref="J140:J143"/>
    <mergeCell ref="K140:K143"/>
    <mergeCell ref="L140:L142"/>
    <mergeCell ref="R23:R24"/>
    <mergeCell ref="S23:S24"/>
    <mergeCell ref="G23:G27"/>
    <mergeCell ref="H23:H26"/>
    <mergeCell ref="I23:I26"/>
    <mergeCell ref="J23:J26"/>
    <mergeCell ref="K23:K26"/>
    <mergeCell ref="L23:L25"/>
    <mergeCell ref="M23:M25"/>
    <mergeCell ref="N23:N25"/>
    <mergeCell ref="O23:O25"/>
  </mergeCells>
  <dataValidations count="8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103:K104 O103:O104 S103:S104 K98:K99 O98:O99 S53:S54 S98:S99 K53:K54 O53:O54 O140:O141 O114:O115 S114:S115 O119:O120 S119:S120 K114:K115 K119:K120 S108:S109 K135:K136 O135:O136 K130:K131 O130:O131 S135:S136 O124:O125 S130:S131 O58:O59 S58:S59 K58:K59 K63:K64 O63:O64 S63:S64 F79:F81 F85:F89 F96:F112 K108:K109 O108:O109 F114:F128 S124:S125 K124:K125 F130:F144 S140:S141 K140:K141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103:J104 R103:R104 V103:W103 J98:J99 R98:R99 V98:W98 J53:J54 R53:R54 V53:W53 J114:J115 R114:R115 V114:W114 J119:J120 R119:R120 V119:W119 J135:J136 R135:R136 V135:W135 J130:J131 R130:R131 V130:W130 J58:J59 R58:R59 V58:W58 J63:J64 R63:R64 V63:W63 J108:J109 R108:R109 V108:W108 J124:J125 R124:R125 V124:W124 J140:J141 R140:R141 V140:W140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103:N105 N98:N100 N53:N55 N114:N116 N119:N121 N135:N137 N130:N132 N58:N60 N63:N65 N108:N110 N124:N126 N140:N142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14:G128 G130:G144 G79:G81 G85:G89 G96:G112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Для выбора выполните двойной щелчок левой клавиши мыши по соответствующей ячейке." sqref="K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O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V87">
      <formula1>900</formula1>
    </dataValidation>
    <dataValidation type="textLength" operator="lessThanOrEqual" allowBlank="1" showInputMessage="1" showErrorMessage="1" errorTitle="Ошибка" error="Допускается ввод не более 900 символов!" sqref="W87">
      <formula1>900</formula1>
    </dataValidation>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O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V90">
      <formula1>900</formula1>
    </dataValidation>
    <dataValidation type="textLength" operator="lessThanOrEqual" allowBlank="1" showInputMessage="1" showErrorMessage="1" errorTitle="Ошибка" error="Допускается ввод не более 900 символов!" sqref="W90">
      <formula1>900</formula1>
    </dataValidation>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O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V93">
      <formula1>900</formula1>
    </dataValidation>
    <dataValidation type="textLength" operator="lessThanOrEqual" allowBlank="1" showInputMessage="1" showErrorMessage="1" errorTitle="Ошибка" error="Допускается ввод не более 900 символов!" sqref="W93">
      <formula1>900</formula1>
    </dataValidation>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582" t="s">
        <v>1233</v>
      </c>
      <c r="E5" s="2582"/>
      <c r="F5" s="2582"/>
      <c r="G5" s="2582"/>
      <c r="H5" s="2582"/>
      <c r="I5" s="2582"/>
      <c r="J5" s="2582"/>
      <c r="V5" s="442">
        <v>63</v>
      </c>
    </row>
    <row r="6" spans="1:22" ht="15.75" customHeight="1">
      <c r="C6" s="113"/>
      <c r="D6"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55"/>
      <c r="F6" s="2555"/>
      <c r="G6" s="2555"/>
      <c r="H6" s="2555"/>
      <c r="I6" s="2555"/>
      <c r="J6" s="255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183</v>
      </c>
      <c r="J8" s="689"/>
      <c r="K8" s="354"/>
      <c r="U8" s="612"/>
      <c r="V8" s="693">
        <v>1</v>
      </c>
    </row>
    <row r="9" spans="1:22" ht="15.75" customHeight="1">
      <c r="C9" s="113"/>
      <c r="D9" s="648"/>
      <c r="E9" s="2696" t="s">
        <v>173</v>
      </c>
      <c r="F9" s="2697"/>
      <c r="G9" s="2711" t="str">
        <f>IF(G8="","",INDEX(DIFFERENTIATION_UNMERGE_VD,MATCH(G8,DIFFERENTIATION_ID_DIFF,0)))</f>
        <v/>
      </c>
      <c r="H9" s="2712"/>
      <c r="I9" s="2711">
        <f>IF(I8="","",INDEX(DIFFERENTIATION_UNMERGE_VD,MATCH(I8,DIFFERENTIATION_ID_DIFF,0)))</f>
        <v>0</v>
      </c>
      <c r="J9" s="2712"/>
      <c r="K9" s="2535" t="s">
        <v>381</v>
      </c>
      <c r="V9" s="442">
        <v>15</v>
      </c>
    </row>
    <row r="10" spans="1:22" s="1562" customFormat="1" ht="15.75" customHeight="1">
      <c r="A10" s="694"/>
      <c r="C10" s="113"/>
      <c r="D10" s="648"/>
      <c r="E10" s="2696" t="s">
        <v>643</v>
      </c>
      <c r="F10" s="2697"/>
      <c r="G10" s="2711" t="str">
        <f>IF(G8="","",INDEX(DIFFERENTIATION_UNMERGE_AREA,MATCH(G8,DIFFERENTIATION_ID_DIFF,0)))</f>
        <v/>
      </c>
      <c r="H10" s="2712"/>
      <c r="I10" s="2711" t="str">
        <f>IF(I8="","",INDEX(DIFFERENTIATION_UNMERGE_AREA,MATCH(I8,DIFFERENTIATION_ID_DIFF,0)))</f>
        <v/>
      </c>
      <c r="J10" s="2712"/>
      <c r="K10" s="2540"/>
      <c r="U10" s="612"/>
      <c r="V10" s="693">
        <v>15</v>
      </c>
    </row>
    <row r="11" spans="1:22" s="1562" customFormat="1" ht="15.75" customHeight="1">
      <c r="A11" s="694"/>
      <c r="C11" s="113"/>
      <c r="D11" s="648"/>
      <c r="E11" s="2696" t="s">
        <v>644</v>
      </c>
      <c r="F11" s="2697"/>
      <c r="G11" s="2711" t="str">
        <f>IF(G8="","",INDEX(DIFFERENTIATION_UNMERGE_SYSTEM,MATCH(G8,DIFFERENTIATION_ID_DIFF,0)))</f>
        <v/>
      </c>
      <c r="H11" s="2712"/>
      <c r="I11" s="2711" t="str">
        <f>IF(I8="","",INDEX(DIFFERENTIATION_UNMERGE_SYSTEM,MATCH(I8,DIFFERENTIATION_ID_DIFF,0)))</f>
        <v>без дифференциации</v>
      </c>
      <c r="J11" s="2712"/>
      <c r="K11" s="2540"/>
      <c r="U11" s="612"/>
      <c r="V11" s="693">
        <v>15</v>
      </c>
    </row>
    <row r="12" spans="1:22" s="1562" customFormat="1" ht="15.75" customHeight="1">
      <c r="A12" s="694"/>
      <c r="C12" s="113"/>
      <c r="D12" s="2698" t="s">
        <v>380</v>
      </c>
      <c r="E12" s="2699"/>
      <c r="F12" s="2699"/>
      <c r="G12" s="817"/>
      <c r="H12" s="817"/>
      <c r="I12" s="817"/>
      <c r="J12" s="817"/>
      <c r="K12" s="2540"/>
      <c r="U12" s="612"/>
      <c r="V12" s="693">
        <v>15</v>
      </c>
    </row>
    <row r="13" spans="1:22" ht="35.65" customHeight="1">
      <c r="C13" s="113"/>
      <c r="D13" s="736" t="s">
        <v>88</v>
      </c>
      <c r="E13" s="738" t="s">
        <v>382</v>
      </c>
      <c r="F13" s="738" t="s">
        <v>645</v>
      </c>
      <c r="G13" s="739" t="s">
        <v>383</v>
      </c>
      <c r="H13" s="738" t="s">
        <v>470</v>
      </c>
      <c r="I13" s="739" t="s">
        <v>383</v>
      </c>
      <c r="J13" s="738" t="s">
        <v>470</v>
      </c>
      <c r="K13" s="2587"/>
      <c r="V13" s="442">
        <v>34</v>
      </c>
    </row>
    <row r="14" spans="1:22" ht="15" hidden="1" customHeight="1">
      <c r="C14" s="113"/>
      <c r="D14" s="530" t="s">
        <v>177</v>
      </c>
      <c r="E14" s="530" t="s">
        <v>102</v>
      </c>
      <c r="F14" s="530" t="s">
        <v>90</v>
      </c>
      <c r="G14" s="596" t="str">
        <f>G1&amp;".1"</f>
        <v>4.1</v>
      </c>
      <c r="H14" s="596"/>
      <c r="I14" s="596" t="str">
        <f>I1&amp;".1"</f>
        <v>4.1</v>
      </c>
      <c r="J14" s="596"/>
      <c r="K14" s="226"/>
      <c r="V14" s="442">
        <v>0</v>
      </c>
    </row>
    <row r="15" spans="1:22" ht="22.5" hidden="1" customHeight="1">
      <c r="A15" s="442"/>
      <c r="C15" s="463"/>
      <c r="D15" s="458">
        <v>1</v>
      </c>
      <c r="E15" s="614" t="s">
        <v>887</v>
      </c>
      <c r="F15" s="458" t="s">
        <v>888</v>
      </c>
      <c r="G15" s="615"/>
      <c r="H15" s="615"/>
      <c r="I15" s="615"/>
      <c r="J15" s="615"/>
      <c r="K15" s="226" t="s">
        <v>889</v>
      </c>
      <c r="V15" s="442">
        <v>0</v>
      </c>
    </row>
    <row r="16" spans="1:22" ht="22.5" hidden="1" customHeight="1">
      <c r="A16" s="442"/>
      <c r="C16" s="463"/>
      <c r="D16" s="458">
        <v>2</v>
      </c>
      <c r="E16" s="216" t="s">
        <v>890</v>
      </c>
      <c r="F16" s="458" t="s">
        <v>891</v>
      </c>
      <c r="G16" s="615"/>
      <c r="H16" s="615"/>
      <c r="I16" s="615"/>
      <c r="J16" s="615"/>
      <c r="K16" s="226" t="s">
        <v>892</v>
      </c>
      <c r="V16" s="442">
        <v>0</v>
      </c>
    </row>
    <row r="17" spans="1:22" ht="123.75" hidden="1" customHeight="1">
      <c r="A17" s="442"/>
      <c r="C17" s="463"/>
      <c r="D17" s="458">
        <v>3</v>
      </c>
      <c r="E17" s="216" t="s">
        <v>1234</v>
      </c>
      <c r="F17" s="458" t="s">
        <v>386</v>
      </c>
      <c r="G17" s="615"/>
      <c r="H17" s="615"/>
      <c r="I17" s="615"/>
      <c r="J17" s="615"/>
      <c r="K17" s="226" t="s">
        <v>1235</v>
      </c>
      <c r="V17" s="442">
        <v>0</v>
      </c>
    </row>
    <row r="18" spans="1:22" ht="48.2" customHeight="1">
      <c r="A18" s="442"/>
      <c r="C18" s="463"/>
      <c r="D18" s="458">
        <v>3</v>
      </c>
      <c r="E18" s="216" t="s">
        <v>893</v>
      </c>
      <c r="F18" s="458" t="s">
        <v>386</v>
      </c>
      <c r="G18" s="740" t="s">
        <v>386</v>
      </c>
      <c r="H18" s="741" t="s">
        <v>386</v>
      </c>
      <c r="I18" s="458" t="s">
        <v>386</v>
      </c>
      <c r="J18" s="515" t="s">
        <v>386</v>
      </c>
      <c r="K18" s="226" t="s">
        <v>1236</v>
      </c>
      <c r="V18" s="442">
        <v>46</v>
      </c>
    </row>
    <row r="19" spans="1:22" ht="35.65" customHeight="1">
      <c r="A19" s="442"/>
      <c r="C19" s="463"/>
      <c r="D19" s="476" t="s">
        <v>404</v>
      </c>
      <c r="E19" s="496" t="s">
        <v>895</v>
      </c>
      <c r="F19" s="458" t="s">
        <v>896</v>
      </c>
      <c r="G19" s="748"/>
      <c r="H19" s="45"/>
      <c r="I19" s="748"/>
      <c r="J19" s="749"/>
      <c r="K19" s="616"/>
      <c r="V19" s="442">
        <v>34</v>
      </c>
    </row>
    <row r="20" spans="1:22" ht="35.65" customHeight="1">
      <c r="A20" s="442"/>
      <c r="C20" s="463"/>
      <c r="D20" s="1816" t="s">
        <v>412</v>
      </c>
      <c r="E20" s="496" t="s">
        <v>897</v>
      </c>
      <c r="F20" s="458" t="s">
        <v>898</v>
      </c>
      <c r="G20" s="748"/>
      <c r="H20" s="45"/>
      <c r="I20" s="748"/>
      <c r="J20" s="45"/>
      <c r="K20" s="616"/>
      <c r="V20" s="442">
        <v>34</v>
      </c>
    </row>
    <row r="21" spans="1:22" ht="48.2" customHeight="1">
      <c r="A21" s="442"/>
      <c r="C21" s="463"/>
      <c r="D21" s="1816" t="s">
        <v>414</v>
      </c>
      <c r="E21" s="496" t="s">
        <v>899</v>
      </c>
      <c r="F21" s="458" t="s">
        <v>650</v>
      </c>
      <c r="G21" s="617"/>
      <c r="H21" s="45"/>
      <c r="I21" s="617"/>
      <c r="J21" s="45"/>
      <c r="K21" s="616"/>
      <c r="V21" s="442">
        <v>46</v>
      </c>
    </row>
    <row r="22" spans="1:22" ht="67.5" hidden="1" customHeight="1">
      <c r="A22" s="442"/>
      <c r="C22" s="463"/>
      <c r="D22" s="458">
        <v>5</v>
      </c>
      <c r="E22" s="216" t="s">
        <v>1237</v>
      </c>
      <c r="F22" s="458" t="s">
        <v>637</v>
      </c>
      <c r="G22" s="618"/>
      <c r="H22" s="619"/>
      <c r="I22" s="618"/>
      <c r="J22" s="619"/>
      <c r="K22" s="226" t="s">
        <v>1238</v>
      </c>
      <c r="V22" s="442">
        <v>0</v>
      </c>
    </row>
    <row r="23" spans="1:22" ht="33.75" hidden="1" customHeight="1">
      <c r="C23" s="388"/>
      <c r="D23" s="458">
        <v>6</v>
      </c>
      <c r="E23" s="216" t="s">
        <v>1239</v>
      </c>
      <c r="F23" s="458" t="s">
        <v>1240</v>
      </c>
      <c r="G23" s="618"/>
      <c r="H23" s="618"/>
      <c r="I23" s="618"/>
      <c r="J23" s="618"/>
      <c r="K23" s="226" t="s">
        <v>1241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1242</v>
      </c>
      <c r="B1" s="997" t="s">
        <v>1243</v>
      </c>
      <c r="C1" s="997" t="s">
        <v>1244</v>
      </c>
      <c r="D1" s="997" t="s">
        <v>1245</v>
      </c>
      <c r="E1" s="997" t="s">
        <v>1246</v>
      </c>
      <c r="F1" s="997" t="s">
        <v>1247</v>
      </c>
      <c r="G1" s="997" t="s">
        <v>1248</v>
      </c>
      <c r="H1" s="997" t="s">
        <v>1249</v>
      </c>
      <c r="I1" s="997" t="s">
        <v>1250</v>
      </c>
      <c r="J1" s="997" t="s">
        <v>1251</v>
      </c>
      <c r="K1" s="997" t="s">
        <v>1252</v>
      </c>
      <c r="L1" s="997" t="s">
        <v>1253</v>
      </c>
      <c r="M1" s="997"/>
      <c r="N1" s="997" t="s">
        <v>1254</v>
      </c>
      <c r="O1" s="997" t="s">
        <v>1255</v>
      </c>
      <c r="P1" s="997" t="s">
        <v>1256</v>
      </c>
      <c r="Q1" s="997" t="s">
        <v>1257</v>
      </c>
      <c r="R1" s="997" t="s">
        <v>1258</v>
      </c>
      <c r="S1" s="997" t="s">
        <v>1259</v>
      </c>
      <c r="T1" s="997" t="s">
        <v>1260</v>
      </c>
      <c r="U1" s="997" t="s">
        <v>1261</v>
      </c>
      <c r="V1" s="997"/>
      <c r="W1" s="728" t="s">
        <v>1262</v>
      </c>
      <c r="X1" s="997" t="s">
        <v>1263</v>
      </c>
      <c r="Y1" s="997" t="s">
        <v>1264</v>
      </c>
      <c r="Z1" s="997"/>
      <c r="AA1" s="997" t="s">
        <v>1265</v>
      </c>
      <c r="AB1" s="997"/>
      <c r="AC1" s="997" t="s">
        <v>1266</v>
      </c>
      <c r="AD1" s="997"/>
      <c r="AF1" s="997" t="s">
        <v>1267</v>
      </c>
      <c r="AH1" s="997" t="s">
        <v>1268</v>
      </c>
      <c r="AI1" s="997" t="s">
        <v>1269</v>
      </c>
      <c r="AK1" s="997" t="s">
        <v>1270</v>
      </c>
      <c r="AM1" s="997" t="s">
        <v>1271</v>
      </c>
      <c r="AP1" s="997" t="s">
        <v>1272</v>
      </c>
      <c r="AQ1" s="997" t="s">
        <v>1273</v>
      </c>
      <c r="AS1" s="997" t="s">
        <v>1274</v>
      </c>
      <c r="AU1" s="997" t="s">
        <v>1275</v>
      </c>
      <c r="AW1" s="997" t="s">
        <v>1276</v>
      </c>
      <c r="AX1" s="997" t="s">
        <v>1277</v>
      </c>
      <c r="AZ1" s="1079" t="s">
        <v>1278</v>
      </c>
      <c r="BB1" s="997" t="s">
        <v>1279</v>
      </c>
      <c r="BC1" s="997"/>
      <c r="BE1" s="997" t="s">
        <v>1280</v>
      </c>
      <c r="BF1" s="997" t="s">
        <v>1281</v>
      </c>
      <c r="BH1" s="999" t="s">
        <v>886</v>
      </c>
      <c r="BI1" s="1000"/>
      <c r="BJ1" s="1001" t="s">
        <v>1282</v>
      </c>
      <c r="BK1" s="1000"/>
      <c r="BL1" s="1002" t="s">
        <v>985</v>
      </c>
      <c r="BM1" s="1000"/>
      <c r="BN1" s="1003" t="s">
        <v>1283</v>
      </c>
    </row>
    <row r="2" spans="1:79" ht="11.25" customHeight="1">
      <c r="A2" s="1004" t="s">
        <v>1284</v>
      </c>
      <c r="B2" s="1005">
        <v>2000</v>
      </c>
      <c r="C2" s="1005">
        <v>2022</v>
      </c>
      <c r="D2" s="1005" t="s">
        <v>66</v>
      </c>
      <c r="E2" s="1006" t="s">
        <v>1285</v>
      </c>
      <c r="F2" s="1006" t="s">
        <v>1286</v>
      </c>
      <c r="G2" s="1006" t="s">
        <v>1287</v>
      </c>
      <c r="H2" s="1007" t="s">
        <v>55</v>
      </c>
      <c r="I2" s="1006" t="s">
        <v>177</v>
      </c>
      <c r="J2" s="1006" t="s">
        <v>1288</v>
      </c>
      <c r="K2" s="1008" t="s">
        <v>1289</v>
      </c>
      <c r="L2" s="1009"/>
      <c r="M2" s="1008">
        <v>1</v>
      </c>
      <c r="N2" s="1089" t="s">
        <v>1290</v>
      </c>
      <c r="O2" s="1007" t="s">
        <v>1291</v>
      </c>
      <c r="P2" s="1010" t="s">
        <v>37</v>
      </c>
      <c r="Q2" s="1011" t="s">
        <v>573</v>
      </c>
      <c r="R2" s="81" t="s">
        <v>1292</v>
      </c>
      <c r="S2" s="81" t="s">
        <v>1293</v>
      </c>
      <c r="T2" s="1012" t="s">
        <v>1294</v>
      </c>
      <c r="U2" s="1009" t="s">
        <v>1295</v>
      </c>
      <c r="V2" s="1013">
        <v>1</v>
      </c>
      <c r="W2" s="1014"/>
      <c r="X2" s="1014" t="s">
        <v>1296</v>
      </c>
      <c r="Y2" s="1005" t="s">
        <v>1297</v>
      </c>
      <c r="Z2" s="1015"/>
      <c r="AA2" s="1005" t="s">
        <v>1298</v>
      </c>
      <c r="AB2" s="1016" t="s">
        <v>1298</v>
      </c>
      <c r="AC2" s="1005" t="s">
        <v>1299</v>
      </c>
      <c r="AD2" s="1016" t="s">
        <v>1299</v>
      </c>
      <c r="AF2" s="1007" t="s">
        <v>1295</v>
      </c>
      <c r="AH2" s="1006" t="s">
        <v>1300</v>
      </c>
      <c r="AI2" s="1006" t="s">
        <v>1300</v>
      </c>
      <c r="AK2" s="1006" t="s">
        <v>1301</v>
      </c>
      <c r="AM2" s="1006" t="s">
        <v>1302</v>
      </c>
      <c r="AP2" s="1017" t="s">
        <v>1296</v>
      </c>
      <c r="AQ2" s="1018" t="s">
        <v>1296</v>
      </c>
      <c r="AS2" s="1005" t="s">
        <v>1303</v>
      </c>
      <c r="AU2" s="1047" t="s">
        <v>1304</v>
      </c>
      <c r="AW2" s="1047" t="s">
        <v>1305</v>
      </c>
      <c r="AX2" s="1047" t="s">
        <v>1305</v>
      </c>
      <c r="AZ2" s="1047" t="s">
        <v>1306</v>
      </c>
      <c r="BB2" s="1047" t="s">
        <v>1307</v>
      </c>
      <c r="BC2" s="1047" t="s">
        <v>1308</v>
      </c>
      <c r="BE2" s="1047">
        <v>2000</v>
      </c>
      <c r="BF2" s="1047" t="s">
        <v>1309</v>
      </c>
    </row>
    <row r="3" spans="1:79" ht="11.25" customHeight="1">
      <c r="A3" s="1004" t="s">
        <v>1310</v>
      </c>
      <c r="B3" s="1005">
        <v>2001</v>
      </c>
      <c r="C3" s="1005">
        <v>2023</v>
      </c>
      <c r="D3" s="1005" t="s">
        <v>19</v>
      </c>
      <c r="E3" s="1006" t="s">
        <v>1311</v>
      </c>
      <c r="F3" s="1006" t="s">
        <v>1312</v>
      </c>
      <c r="G3" s="1006" t="s">
        <v>1313</v>
      </c>
      <c r="H3" s="1007" t="s">
        <v>1314</v>
      </c>
      <c r="I3" s="1006" t="s">
        <v>102</v>
      </c>
      <c r="J3" s="1006" t="s">
        <v>635</v>
      </c>
      <c r="K3" s="1008" t="s">
        <v>1315</v>
      </c>
      <c r="L3" s="1009">
        <f>IFERROR(MATCH(K3,OFFER_METHOD,0),0)</f>
        <v>0</v>
      </c>
      <c r="M3" s="1008">
        <v>2</v>
      </c>
      <c r="N3" s="1089" t="s">
        <v>1316</v>
      </c>
      <c r="O3" s="1007" t="s">
        <v>1317</v>
      </c>
      <c r="P3" s="1010" t="s">
        <v>1318</v>
      </c>
      <c r="Q3" s="1011" t="s">
        <v>1319</v>
      </c>
      <c r="R3" s="81" t="s">
        <v>1320</v>
      </c>
      <c r="S3" s="81" t="s">
        <v>1321</v>
      </c>
      <c r="T3" s="1012" t="s">
        <v>1322</v>
      </c>
      <c r="U3" s="1009" t="s">
        <v>1323</v>
      </c>
      <c r="V3" s="1013">
        <v>2</v>
      </c>
      <c r="W3" s="1014"/>
      <c r="X3" s="1014" t="s">
        <v>1324</v>
      </c>
      <c r="Y3" s="1005" t="s">
        <v>1297</v>
      </c>
      <c r="Z3" s="1015"/>
      <c r="AA3" s="1005" t="s">
        <v>1325</v>
      </c>
      <c r="AB3" s="1016" t="s">
        <v>1325</v>
      </c>
      <c r="AC3" s="1005" t="s">
        <v>1326</v>
      </c>
      <c r="AD3" s="1016" t="s">
        <v>1326</v>
      </c>
      <c r="AF3" s="1007" t="s">
        <v>1323</v>
      </c>
      <c r="AH3" s="1006" t="s">
        <v>1327</v>
      </c>
      <c r="AI3" s="1006" t="s">
        <v>1328</v>
      </c>
      <c r="AK3" s="1006" t="s">
        <v>1329</v>
      </c>
      <c r="AM3" s="1006" t="s">
        <v>1330</v>
      </c>
      <c r="AP3" s="1017" t="s">
        <v>1331</v>
      </c>
      <c r="AQ3" s="1018" t="s">
        <v>1331</v>
      </c>
      <c r="AS3" s="1005" t="s">
        <v>1332</v>
      </c>
      <c r="AU3" s="1047" t="s">
        <v>1333</v>
      </c>
      <c r="AW3" s="1047" t="s">
        <v>1334</v>
      </c>
      <c r="AX3" s="1047" t="s">
        <v>1334</v>
      </c>
      <c r="AZ3" s="1047" t="s">
        <v>1335</v>
      </c>
      <c r="BB3" s="1047" t="s">
        <v>1336</v>
      </c>
      <c r="BC3" s="1047" t="s">
        <v>1308</v>
      </c>
      <c r="BE3" s="1047">
        <v>2001</v>
      </c>
      <c r="BF3" s="1047" t="s">
        <v>1337</v>
      </c>
      <c r="BH3" s="997" t="s">
        <v>1338</v>
      </c>
      <c r="BJ3" s="997" t="s">
        <v>1339</v>
      </c>
      <c r="BL3" s="997" t="s">
        <v>1340</v>
      </c>
      <c r="BN3" s="997" t="s">
        <v>1341</v>
      </c>
      <c r="BR3" s="997" t="s">
        <v>1342</v>
      </c>
      <c r="BS3" s="1355"/>
      <c r="BT3" s="1000"/>
      <c r="BU3" s="997" t="s">
        <v>1343</v>
      </c>
      <c r="BV3" s="1000"/>
      <c r="BW3" s="1617"/>
      <c r="BX3" s="1619" t="s">
        <v>1344</v>
      </c>
      <c r="CA3" s="997" t="s">
        <v>1345</v>
      </c>
    </row>
    <row r="4" spans="1:79" ht="11.25" customHeight="1">
      <c r="A4" s="1004" t="s">
        <v>1346</v>
      </c>
      <c r="B4" s="1005">
        <v>2002</v>
      </c>
      <c r="C4" s="1005">
        <v>2024</v>
      </c>
      <c r="E4" s="1006" t="s">
        <v>1347</v>
      </c>
      <c r="F4" s="1006" t="s">
        <v>1348</v>
      </c>
      <c r="H4" s="1007" t="s">
        <v>1349</v>
      </c>
      <c r="I4" s="1006" t="s">
        <v>90</v>
      </c>
      <c r="J4" s="1006" t="s">
        <v>1350</v>
      </c>
      <c r="K4" s="1008" t="s">
        <v>1351</v>
      </c>
      <c r="L4" s="1009">
        <f>IFERROR(MATCH(K4,OFFER_METHOD,0),0)</f>
        <v>0</v>
      </c>
      <c r="M4" s="1008">
        <v>3</v>
      </c>
      <c r="N4" s="1089" t="s">
        <v>1352</v>
      </c>
      <c r="O4" s="1006" t="s">
        <v>1353</v>
      </c>
      <c r="Q4" s="1011" t="s">
        <v>1354</v>
      </c>
      <c r="R4" s="81" t="s">
        <v>1355</v>
      </c>
      <c r="S4" s="81" t="s">
        <v>1356</v>
      </c>
      <c r="T4" s="1012" t="s">
        <v>1357</v>
      </c>
      <c r="U4" s="1009" t="s">
        <v>1358</v>
      </c>
      <c r="V4" s="1013">
        <v>3</v>
      </c>
      <c r="W4" s="1014"/>
      <c r="X4" s="1014" t="s">
        <v>1359</v>
      </c>
      <c r="Y4" s="1005" t="s">
        <v>1297</v>
      </c>
      <c r="Z4" s="1020"/>
      <c r="AC4" s="1005" t="s">
        <v>1360</v>
      </c>
      <c r="AD4" s="1016" t="s">
        <v>1360</v>
      </c>
      <c r="AF4" s="1007" t="s">
        <v>1358</v>
      </c>
      <c r="AH4" s="1007" t="s">
        <v>1361</v>
      </c>
      <c r="AK4" s="1006" t="s">
        <v>1362</v>
      </c>
      <c r="AM4" s="1006" t="s">
        <v>1363</v>
      </c>
      <c r="AP4" s="1017" t="s">
        <v>1324</v>
      </c>
      <c r="AQ4" s="1018" t="s">
        <v>1324</v>
      </c>
      <c r="AS4" s="1005" t="s">
        <v>1364</v>
      </c>
      <c r="AU4" s="1047" t="s">
        <v>1365</v>
      </c>
      <c r="AW4" s="1047" t="s">
        <v>1366</v>
      </c>
      <c r="AX4" s="1047" t="s">
        <v>1366</v>
      </c>
      <c r="AZ4" s="1047" t="s">
        <v>1367</v>
      </c>
      <c r="BB4" s="1047" t="s">
        <v>1368</v>
      </c>
      <c r="BC4" s="1047" t="s">
        <v>1369</v>
      </c>
      <c r="BE4" s="1047">
        <v>2002</v>
      </c>
      <c r="BF4" s="1047" t="s">
        <v>1370</v>
      </c>
      <c r="BH4" s="998" t="s">
        <v>1371</v>
      </c>
      <c r="BJ4" s="998" t="s">
        <v>1371</v>
      </c>
      <c r="BL4" s="998" t="s">
        <v>1371</v>
      </c>
      <c r="BN4" s="998" t="s">
        <v>1371</v>
      </c>
      <c r="BQ4" s="1359" t="s">
        <v>1372</v>
      </c>
      <c r="BR4" s="1086" t="s">
        <v>1373</v>
      </c>
      <c r="BS4" s="211"/>
      <c r="BT4" s="1359" t="s">
        <v>1374</v>
      </c>
      <c r="BU4" s="1086" t="s">
        <v>1375</v>
      </c>
      <c r="BV4" s="1000"/>
      <c r="BW4" s="1624" t="s">
        <v>1376</v>
      </c>
      <c r="BX4" s="1618" t="s">
        <v>1377</v>
      </c>
      <c r="BZ4" s="1359" t="s">
        <v>1378</v>
      </c>
      <c r="CA4" s="1086" t="s">
        <v>1379</v>
      </c>
    </row>
    <row r="5" spans="1:79" ht="11.25" customHeight="1">
      <c r="A5" s="1004" t="s">
        <v>1380</v>
      </c>
      <c r="B5" s="1005">
        <v>2003</v>
      </c>
      <c r="C5" s="1005">
        <v>2025</v>
      </c>
      <c r="E5" s="1006" t="s">
        <v>1381</v>
      </c>
      <c r="F5" s="1006" t="s">
        <v>1382</v>
      </c>
      <c r="H5" s="1007" t="s">
        <v>1383</v>
      </c>
      <c r="I5" s="1006" t="s">
        <v>91</v>
      </c>
      <c r="K5" s="1008" t="s">
        <v>1384</v>
      </c>
      <c r="L5" s="1009">
        <f>IFERROR(MATCH(K5,OFFER_METHOD,0),0)</f>
        <v>0</v>
      </c>
      <c r="M5" s="1008">
        <v>4</v>
      </c>
      <c r="N5" s="1021" t="s">
        <v>1385</v>
      </c>
      <c r="O5" s="1006" t="s">
        <v>1386</v>
      </c>
      <c r="Q5" s="1011" t="s">
        <v>1387</v>
      </c>
      <c r="R5" s="81" t="s">
        <v>1388</v>
      </c>
      <c r="T5" s="1007" t="s">
        <v>1389</v>
      </c>
      <c r="U5" s="1009" t="s">
        <v>1390</v>
      </c>
      <c r="V5" s="1013">
        <v>4</v>
      </c>
      <c r="W5" s="1014"/>
      <c r="X5" s="1014" t="s">
        <v>232</v>
      </c>
      <c r="Y5" s="1005" t="s">
        <v>1391</v>
      </c>
      <c r="Z5" s="1020">
        <v>1</v>
      </c>
      <c r="AF5" s="1007" t="s">
        <v>1392</v>
      </c>
      <c r="AH5" s="1006" t="s">
        <v>1393</v>
      </c>
      <c r="AK5" s="1006" t="s">
        <v>1394</v>
      </c>
      <c r="AM5" s="1006" t="s">
        <v>1395</v>
      </c>
      <c r="AP5" s="1017" t="s">
        <v>232</v>
      </c>
      <c r="AQ5" s="1018" t="s">
        <v>232</v>
      </c>
      <c r="AU5" s="1047" t="s">
        <v>1396</v>
      </c>
      <c r="AW5" s="1047" t="s">
        <v>1397</v>
      </c>
      <c r="AX5" s="1047" t="s">
        <v>1397</v>
      </c>
      <c r="AZ5" s="1047" t="s">
        <v>1398</v>
      </c>
      <c r="BB5" s="1047" t="s">
        <v>1399</v>
      </c>
      <c r="BC5" s="1047" t="s">
        <v>1400</v>
      </c>
      <c r="BE5" s="1047">
        <v>2003</v>
      </c>
      <c r="BF5" s="1047" t="s">
        <v>1401</v>
      </c>
      <c r="BH5" s="998" t="s">
        <v>1402</v>
      </c>
      <c r="BJ5" s="998" t="s">
        <v>1402</v>
      </c>
      <c r="BL5" s="998" t="s">
        <v>1402</v>
      </c>
      <c r="BN5" s="998" t="s">
        <v>1403</v>
      </c>
      <c r="BQ5" s="1208">
        <v>4213775</v>
      </c>
      <c r="BR5" s="998" t="s">
        <v>1296</v>
      </c>
      <c r="BS5" s="1356"/>
      <c r="BT5" s="1208">
        <v>64236871</v>
      </c>
      <c r="BU5" s="998" t="s">
        <v>301</v>
      </c>
      <c r="BV5" s="1000"/>
      <c r="BW5" s="1622">
        <v>4213767</v>
      </c>
      <c r="BX5" s="1620" t="s">
        <v>1404</v>
      </c>
      <c r="BZ5" s="1208">
        <v>64237509</v>
      </c>
      <c r="CA5" s="1222" t="s">
        <v>1405</v>
      </c>
    </row>
    <row r="6" spans="1:79" ht="11.25" customHeight="1">
      <c r="A6" s="1004" t="s">
        <v>1406</v>
      </c>
      <c r="B6" s="1005">
        <v>2004</v>
      </c>
      <c r="C6" s="1005">
        <v>2026</v>
      </c>
      <c r="E6" s="1006" t="s">
        <v>1407</v>
      </c>
      <c r="F6" s="1022"/>
      <c r="H6" s="1007" t="s">
        <v>1408</v>
      </c>
      <c r="I6" s="1006" t="s">
        <v>127</v>
      </c>
      <c r="J6" s="997" t="s">
        <v>1409</v>
      </c>
      <c r="L6" s="1009">
        <f>SUM(kind_of_control_method_filter)</f>
        <v>0</v>
      </c>
      <c r="N6" s="1021" t="s">
        <v>1410</v>
      </c>
      <c r="O6" s="1006" t="s">
        <v>1411</v>
      </c>
      <c r="R6" s="81" t="s">
        <v>573</v>
      </c>
      <c r="T6" s="1007" t="s">
        <v>1412</v>
      </c>
      <c r="U6" s="1009" t="s">
        <v>1392</v>
      </c>
      <c r="V6" s="1013">
        <v>5</v>
      </c>
      <c r="W6" s="1014"/>
      <c r="X6" s="1005" t="s">
        <v>238</v>
      </c>
      <c r="Y6" s="1005" t="s">
        <v>1413</v>
      </c>
      <c r="Z6" s="1020"/>
      <c r="AA6" s="1023"/>
      <c r="AH6" s="1006" t="s">
        <v>1414</v>
      </c>
      <c r="AK6" s="1006" t="s">
        <v>1415</v>
      </c>
      <c r="AM6" s="1006" t="s">
        <v>1416</v>
      </c>
      <c r="AP6" s="1017" t="s">
        <v>238</v>
      </c>
      <c r="AQ6" s="1018" t="s">
        <v>238</v>
      </c>
      <c r="AU6" s="1047" t="s">
        <v>1417</v>
      </c>
      <c r="AW6" s="1047" t="s">
        <v>1418</v>
      </c>
      <c r="AX6" s="1047" t="s">
        <v>1418</v>
      </c>
      <c r="BB6" s="1047" t="s">
        <v>1419</v>
      </c>
      <c r="BC6" s="1047" t="s">
        <v>1400</v>
      </c>
      <c r="BE6" s="1047">
        <v>2004</v>
      </c>
      <c r="BF6" s="1047" t="s">
        <v>1420</v>
      </c>
      <c r="BH6" s="998" t="s">
        <v>1421</v>
      </c>
      <c r="BJ6" s="998" t="s">
        <v>1422</v>
      </c>
      <c r="BL6" s="998" t="s">
        <v>1422</v>
      </c>
      <c r="BN6" s="998" t="s">
        <v>1423</v>
      </c>
      <c r="BQ6" s="1208">
        <v>4213784</v>
      </c>
      <c r="BR6" s="1222" t="s">
        <v>1331</v>
      </c>
      <c r="BS6" s="1357"/>
      <c r="BT6" s="1208">
        <v>64236872</v>
      </c>
      <c r="BU6" s="998" t="s">
        <v>314</v>
      </c>
      <c r="BV6" s="1000"/>
      <c r="BW6" s="1622">
        <v>4213768</v>
      </c>
      <c r="BX6" s="1620" t="s">
        <v>334</v>
      </c>
      <c r="BZ6" s="1208">
        <v>64237510</v>
      </c>
      <c r="CA6" s="998" t="s">
        <v>1424</v>
      </c>
    </row>
    <row r="7" spans="1:79" ht="11.25" customHeight="1">
      <c r="A7" s="1004" t="s">
        <v>1425</v>
      </c>
      <c r="B7" s="1005">
        <v>2005</v>
      </c>
      <c r="E7" s="1006" t="s">
        <v>1426</v>
      </c>
      <c r="F7" s="1022"/>
      <c r="H7" s="1007" t="s">
        <v>1427</v>
      </c>
      <c r="I7" s="1006" t="s">
        <v>92</v>
      </c>
      <c r="J7" s="1006" t="s">
        <v>1428</v>
      </c>
      <c r="N7" s="1025" t="s">
        <v>1429</v>
      </c>
      <c r="O7" s="1006" t="s">
        <v>1430</v>
      </c>
      <c r="U7" s="1009" t="s">
        <v>19</v>
      </c>
      <c r="V7" s="307" t="s">
        <v>92</v>
      </c>
      <c r="W7" s="1014"/>
      <c r="X7" s="1005" t="s">
        <v>244</v>
      </c>
      <c r="Y7" s="1005" t="s">
        <v>1391</v>
      </c>
      <c r="Z7" s="1020"/>
      <c r="AA7" s="1023"/>
      <c r="AH7" s="1006" t="s">
        <v>1431</v>
      </c>
      <c r="AK7" s="1006" t="s">
        <v>1432</v>
      </c>
      <c r="AM7" s="1006" t="s">
        <v>1433</v>
      </c>
      <c r="AP7" s="1017" t="s">
        <v>244</v>
      </c>
      <c r="AQ7" s="1018" t="s">
        <v>244</v>
      </c>
      <c r="AU7" s="1047" t="s">
        <v>1434</v>
      </c>
      <c r="AW7" s="1047" t="s">
        <v>1435</v>
      </c>
      <c r="AX7" s="1047" t="s">
        <v>1435</v>
      </c>
      <c r="AZ7" s="997" t="s">
        <v>1436</v>
      </c>
      <c r="BB7" s="1047" t="s">
        <v>1437</v>
      </c>
      <c r="BC7" s="1047" t="s">
        <v>1400</v>
      </c>
      <c r="BE7" s="1047">
        <v>2005</v>
      </c>
      <c r="BF7" s="1047" t="s">
        <v>1438</v>
      </c>
      <c r="BH7" s="998" t="s">
        <v>1439</v>
      </c>
      <c r="BJ7" s="998" t="s">
        <v>1421</v>
      </c>
      <c r="BL7" s="998" t="s">
        <v>1421</v>
      </c>
      <c r="BN7" s="998" t="s">
        <v>1440</v>
      </c>
      <c r="BQ7" s="1208">
        <v>4213781</v>
      </c>
      <c r="BR7" s="998" t="s">
        <v>1324</v>
      </c>
      <c r="BS7" s="1356"/>
      <c r="BT7" s="1208">
        <v>64236873</v>
      </c>
      <c r="BU7" s="998" t="s">
        <v>319</v>
      </c>
      <c r="BV7" s="1000"/>
      <c r="BW7" s="1622">
        <v>4213769</v>
      </c>
      <c r="BX7" s="1620" t="s">
        <v>1441</v>
      </c>
      <c r="BZ7" s="1208">
        <v>64237511</v>
      </c>
      <c r="CA7" s="998" t="s">
        <v>349</v>
      </c>
    </row>
    <row r="8" spans="1:79" ht="11.25" customHeight="1">
      <c r="A8" s="1004" t="s">
        <v>1442</v>
      </c>
      <c r="B8" s="1005">
        <v>2006</v>
      </c>
      <c r="E8" s="1006" t="s">
        <v>1443</v>
      </c>
      <c r="F8" s="1022"/>
      <c r="H8" s="1007" t="s">
        <v>1444</v>
      </c>
      <c r="I8" s="1006" t="s">
        <v>93</v>
      </c>
      <c r="J8" s="1006" t="s">
        <v>1445</v>
      </c>
      <c r="N8" s="1090" t="s">
        <v>1446</v>
      </c>
      <c r="O8" s="1006" t="s">
        <v>1447</v>
      </c>
      <c r="V8" s="307" t="s">
        <v>93</v>
      </c>
      <c r="W8" s="1014"/>
      <c r="X8" s="1005" t="s">
        <v>250</v>
      </c>
      <c r="Y8" s="1005" t="s">
        <v>1391</v>
      </c>
      <c r="Z8" s="1020"/>
      <c r="AA8" s="1023"/>
      <c r="AK8" s="1006" t="s">
        <v>1448</v>
      </c>
      <c r="AP8" s="1017" t="s">
        <v>250</v>
      </c>
      <c r="AQ8" s="1018" t="s">
        <v>250</v>
      </c>
      <c r="AU8" s="1047" t="s">
        <v>1449</v>
      </c>
      <c r="AW8" s="1047" t="s">
        <v>1450</v>
      </c>
      <c r="AX8" s="1047" t="s">
        <v>1450</v>
      </c>
      <c r="AZ8" s="1047" t="s">
        <v>1451</v>
      </c>
      <c r="BB8" s="1047" t="s">
        <v>1452</v>
      </c>
      <c r="BC8" s="1047" t="s">
        <v>1400</v>
      </c>
      <c r="BE8" s="1047">
        <v>2006</v>
      </c>
      <c r="BF8" s="1047" t="s">
        <v>1453</v>
      </c>
      <c r="BH8" s="998" t="s">
        <v>1454</v>
      </c>
      <c r="BJ8" s="998" t="s">
        <v>1455</v>
      </c>
      <c r="BL8" s="998" t="s">
        <v>1455</v>
      </c>
      <c r="BN8" s="998" t="s">
        <v>1456</v>
      </c>
      <c r="BQ8" s="1208">
        <v>4213776</v>
      </c>
      <c r="BR8" s="998" t="s">
        <v>232</v>
      </c>
      <c r="BS8" s="1356"/>
      <c r="BT8" s="1208">
        <v>64236874</v>
      </c>
      <c r="BU8" s="1222" t="s">
        <v>1457</v>
      </c>
      <c r="BV8" s="1000"/>
      <c r="BW8" s="1622">
        <v>4213770</v>
      </c>
      <c r="BX8" s="1623" t="s">
        <v>1458</v>
      </c>
      <c r="BZ8" s="1208">
        <v>64237512</v>
      </c>
      <c r="CA8" s="998" t="s">
        <v>344</v>
      </c>
    </row>
    <row r="9" spans="1:79" ht="11.25" customHeight="1">
      <c r="A9" s="1004" t="s">
        <v>1459</v>
      </c>
      <c r="B9" s="1005">
        <v>2007</v>
      </c>
      <c r="E9" s="1006" t="s">
        <v>1460</v>
      </c>
      <c r="F9" s="1022"/>
      <c r="G9" s="997" t="s">
        <v>1461</v>
      </c>
      <c r="H9" s="997" t="s">
        <v>1462</v>
      </c>
      <c r="I9" s="1006" t="s">
        <v>178</v>
      </c>
      <c r="O9" s="1006" t="s">
        <v>1463</v>
      </c>
      <c r="V9" s="307" t="s">
        <v>178</v>
      </c>
      <c r="W9" s="1014"/>
      <c r="X9" s="1005" t="s">
        <v>256</v>
      </c>
      <c r="Y9" s="1005" t="s">
        <v>1297</v>
      </c>
      <c r="Z9" s="1020">
        <v>1</v>
      </c>
      <c r="AA9" s="1023"/>
      <c r="AK9" s="1006" t="s">
        <v>1464</v>
      </c>
      <c r="AP9" s="1017" t="s">
        <v>1465</v>
      </c>
      <c r="AQ9" s="1018" t="s">
        <v>1465</v>
      </c>
      <c r="AW9" s="1047" t="s">
        <v>1466</v>
      </c>
      <c r="AX9" s="1047" t="s">
        <v>1466</v>
      </c>
      <c r="AZ9" s="1047" t="s">
        <v>1467</v>
      </c>
      <c r="BB9" s="1047" t="s">
        <v>1468</v>
      </c>
      <c r="BC9" s="1047" t="s">
        <v>1400</v>
      </c>
      <c r="BE9" s="1047">
        <v>2007</v>
      </c>
      <c r="BF9" s="1047" t="s">
        <v>1469</v>
      </c>
      <c r="BH9" s="998" t="s">
        <v>1470</v>
      </c>
      <c r="BJ9" s="998" t="s">
        <v>1471</v>
      </c>
      <c r="BL9" s="998" t="s">
        <v>1471</v>
      </c>
      <c r="BN9" s="998" t="s">
        <v>1472</v>
      </c>
      <c r="BQ9" s="1208">
        <v>4213777</v>
      </c>
      <c r="BR9" s="998" t="s">
        <v>238</v>
      </c>
      <c r="BS9" s="1356"/>
      <c r="BT9" s="1208">
        <v>64236875</v>
      </c>
      <c r="BU9" s="998" t="s">
        <v>324</v>
      </c>
      <c r="BV9" s="1000"/>
      <c r="BW9" s="1617"/>
      <c r="BX9" s="1617"/>
    </row>
    <row r="10" spans="1:79" ht="11.25" customHeight="1">
      <c r="A10" s="1004" t="s">
        <v>1473</v>
      </c>
      <c r="B10" s="1005">
        <v>2008</v>
      </c>
      <c r="E10" s="1006" t="s">
        <v>1474</v>
      </c>
      <c r="F10" s="1022"/>
      <c r="G10" s="1006" t="s">
        <v>1475</v>
      </c>
      <c r="H10" s="1006" t="s">
        <v>1476</v>
      </c>
      <c r="I10" s="1006" t="s">
        <v>214</v>
      </c>
      <c r="J10" s="997" t="s">
        <v>1477</v>
      </c>
      <c r="K10" s="997" t="s">
        <v>1478</v>
      </c>
      <c r="O10" s="1006" t="s">
        <v>1479</v>
      </c>
      <c r="V10" s="308" t="s">
        <v>214</v>
      </c>
      <c r="W10" s="1026"/>
      <c r="X10" s="1026" t="s">
        <v>1480</v>
      </c>
      <c r="Y10" s="1027" t="s">
        <v>1481</v>
      </c>
      <c r="Z10" s="1020"/>
      <c r="AP10" s="1017" t="s">
        <v>1480</v>
      </c>
      <c r="AQ10" s="1018" t="s">
        <v>1480</v>
      </c>
      <c r="AW10" s="1047" t="s">
        <v>1482</v>
      </c>
      <c r="AX10" s="1047" t="s">
        <v>1482</v>
      </c>
      <c r="AZ10" s="1047" t="s">
        <v>1483</v>
      </c>
      <c r="BB10" s="1047" t="s">
        <v>1484</v>
      </c>
      <c r="BC10" s="1047" t="s">
        <v>1400</v>
      </c>
      <c r="BE10" s="1047">
        <v>2008</v>
      </c>
      <c r="BF10" s="1047" t="s">
        <v>1485</v>
      </c>
      <c r="BH10" s="998" t="s">
        <v>1486</v>
      </c>
      <c r="BJ10" s="998" t="s">
        <v>1487</v>
      </c>
      <c r="BL10" s="998" t="s">
        <v>1487</v>
      </c>
      <c r="BN10" s="998" t="s">
        <v>1488</v>
      </c>
      <c r="BQ10" s="1208">
        <v>4213778</v>
      </c>
      <c r="BR10" s="998" t="s">
        <v>244</v>
      </c>
      <c r="BS10" s="1356"/>
      <c r="BT10" s="1208">
        <v>64236876</v>
      </c>
      <c r="BU10" s="998" t="s">
        <v>288</v>
      </c>
      <c r="BV10" s="1000"/>
      <c r="BW10" s="1617"/>
      <c r="BX10" s="1617"/>
    </row>
    <row r="11" spans="1:79" ht="11.25" customHeight="1">
      <c r="A11" s="1004" t="s">
        <v>1489</v>
      </c>
      <c r="B11" s="1005">
        <v>2009</v>
      </c>
      <c r="E11" s="1006" t="s">
        <v>1490</v>
      </c>
      <c r="F11" s="1022"/>
      <c r="G11" s="1006" t="s">
        <v>1491</v>
      </c>
      <c r="H11" s="1006" t="s">
        <v>1492</v>
      </c>
      <c r="I11" s="1006" t="s">
        <v>215</v>
      </c>
      <c r="J11" s="1007" t="s">
        <v>1493</v>
      </c>
      <c r="K11" s="1028" t="s">
        <v>1494</v>
      </c>
      <c r="O11" s="1007" t="s">
        <v>1495</v>
      </c>
      <c r="V11" s="307" t="s">
        <v>215</v>
      </c>
      <c r="W11" s="212"/>
      <c r="X11" s="1014" t="s">
        <v>1465</v>
      </c>
      <c r="Y11" s="1005" t="s">
        <v>1496</v>
      </c>
      <c r="Z11" s="1020"/>
      <c r="AP11" s="1017" t="s">
        <v>256</v>
      </c>
      <c r="AQ11" s="1019" t="s">
        <v>256</v>
      </c>
      <c r="AW11" s="1047" t="s">
        <v>1497</v>
      </c>
      <c r="AX11" s="1047" t="s">
        <v>1497</v>
      </c>
      <c r="AZ11" s="1047" t="s">
        <v>1498</v>
      </c>
      <c r="BB11" s="1047" t="s">
        <v>1499</v>
      </c>
      <c r="BC11" s="1047" t="s">
        <v>1400</v>
      </c>
      <c r="BE11" s="1047">
        <v>2009</v>
      </c>
      <c r="BF11" s="1047" t="s">
        <v>1500</v>
      </c>
      <c r="BH11" s="998" t="s">
        <v>1501</v>
      </c>
      <c r="BJ11" s="998" t="s">
        <v>1470</v>
      </c>
      <c r="BL11" s="998" t="s">
        <v>1470</v>
      </c>
      <c r="BN11" s="998" t="s">
        <v>1502</v>
      </c>
      <c r="BQ11" s="1208">
        <v>4213780</v>
      </c>
      <c r="BR11" s="998" t="s">
        <v>250</v>
      </c>
      <c r="BS11" s="1356"/>
      <c r="BW11" s="1617"/>
      <c r="BX11" s="1617"/>
    </row>
    <row r="12" spans="1:79" ht="11.25" customHeight="1">
      <c r="A12" s="1004" t="s">
        <v>1503</v>
      </c>
      <c r="B12" s="1005">
        <v>2010</v>
      </c>
      <c r="E12" s="1006" t="s">
        <v>1504</v>
      </c>
      <c r="F12" s="1022"/>
      <c r="G12" s="1006" t="s">
        <v>1492</v>
      </c>
      <c r="I12" s="1006" t="s">
        <v>216</v>
      </c>
      <c r="J12" s="1007" t="s">
        <v>1505</v>
      </c>
      <c r="K12" s="1028" t="s">
        <v>1506</v>
      </c>
      <c r="O12" s="1007" t="s">
        <v>573</v>
      </c>
      <c r="V12" s="307" t="s">
        <v>216</v>
      </c>
      <c r="W12" s="1019"/>
      <c r="X12" s="1014" t="s">
        <v>1507</v>
      </c>
      <c r="Y12" s="1005" t="s">
        <v>1297</v>
      </c>
      <c r="AP12" s="1017"/>
      <c r="AW12" s="1047" t="s">
        <v>215</v>
      </c>
      <c r="AX12" s="1047" t="s">
        <v>215</v>
      </c>
      <c r="AZ12" s="1047" t="s">
        <v>1508</v>
      </c>
      <c r="BB12" s="1047" t="s">
        <v>1509</v>
      </c>
      <c r="BC12" s="1047" t="s">
        <v>1400</v>
      </c>
      <c r="BE12" s="1047">
        <v>2010</v>
      </c>
      <c r="BF12" s="1047" t="s">
        <v>1510</v>
      </c>
      <c r="BH12" s="998" t="s">
        <v>1511</v>
      </c>
      <c r="BJ12" s="998" t="s">
        <v>1512</v>
      </c>
      <c r="BL12" s="998" t="s">
        <v>1512</v>
      </c>
      <c r="BN12" s="998" t="s">
        <v>1513</v>
      </c>
      <c r="BQ12" s="1208">
        <v>4213779</v>
      </c>
      <c r="BR12" s="998" t="s">
        <v>1465</v>
      </c>
      <c r="BS12" s="1356"/>
      <c r="BT12" s="1000"/>
      <c r="BU12" s="1000"/>
      <c r="BV12" s="1000"/>
      <c r="BW12" s="1617"/>
      <c r="BX12" s="1617"/>
    </row>
    <row r="13" spans="1:79" ht="11.25" customHeight="1">
      <c r="A13" s="1004" t="s">
        <v>1514</v>
      </c>
      <c r="B13" s="1005">
        <v>2011</v>
      </c>
      <c r="E13" s="1006" t="s">
        <v>1515</v>
      </c>
      <c r="F13" s="1022"/>
      <c r="I13" s="1006" t="s">
        <v>217</v>
      </c>
      <c r="K13" s="1028" t="s">
        <v>1464</v>
      </c>
      <c r="V13" s="307" t="s">
        <v>217</v>
      </c>
      <c r="W13" s="1019"/>
      <c r="X13" s="1019"/>
      <c r="Y13" s="1019"/>
      <c r="AW13" s="1047" t="s">
        <v>216</v>
      </c>
      <c r="AX13" s="1047" t="s">
        <v>216</v>
      </c>
      <c r="BB13" s="1047" t="s">
        <v>1516</v>
      </c>
      <c r="BC13" s="1047" t="s">
        <v>1517</v>
      </c>
      <c r="BE13" s="1047">
        <v>2011</v>
      </c>
      <c r="BF13" s="1047" t="s">
        <v>1518</v>
      </c>
      <c r="BH13" s="998" t="s">
        <v>1519</v>
      </c>
      <c r="BJ13" s="998" t="s">
        <v>1501</v>
      </c>
      <c r="BL13" s="998" t="s">
        <v>1501</v>
      </c>
      <c r="BN13" s="998" t="s">
        <v>1520</v>
      </c>
      <c r="BQ13" s="1208">
        <v>4213783</v>
      </c>
      <c r="BR13" s="998" t="s">
        <v>1480</v>
      </c>
      <c r="BS13" s="1356"/>
      <c r="BT13" s="1000"/>
      <c r="BU13" s="1000"/>
      <c r="BV13" s="1000"/>
      <c r="BW13" s="1621"/>
      <c r="BX13" s="1617"/>
    </row>
    <row r="14" spans="1:79" ht="11.25" customHeight="1">
      <c r="A14" s="1004" t="s">
        <v>1521</v>
      </c>
      <c r="B14" s="1005">
        <v>2012</v>
      </c>
      <c r="I14" s="1006" t="s">
        <v>218</v>
      </c>
      <c r="J14" s="997" t="s">
        <v>1522</v>
      </c>
      <c r="N14" s="997" t="s">
        <v>1523</v>
      </c>
      <c r="V14" s="1013">
        <v>13</v>
      </c>
      <c r="W14" s="1014"/>
      <c r="X14" s="1014" t="s">
        <v>1331</v>
      </c>
      <c r="Y14" s="1005" t="s">
        <v>1297</v>
      </c>
      <c r="AW14" s="1047" t="s">
        <v>217</v>
      </c>
      <c r="AX14" s="1047" t="s">
        <v>217</v>
      </c>
      <c r="AZ14" s="997" t="s">
        <v>1524</v>
      </c>
      <c r="BB14" s="1047" t="s">
        <v>1525</v>
      </c>
      <c r="BC14" s="1047" t="s">
        <v>1517</v>
      </c>
      <c r="BE14" s="1047">
        <v>2012</v>
      </c>
      <c r="BH14" s="998" t="s">
        <v>1440</v>
      </c>
      <c r="BJ14" s="1144" t="s">
        <v>1526</v>
      </c>
      <c r="BL14" s="1144" t="s">
        <v>1526</v>
      </c>
      <c r="BN14" s="998" t="s">
        <v>1527</v>
      </c>
      <c r="BQ14" s="1208">
        <v>4213782</v>
      </c>
      <c r="BR14" s="998" t="s">
        <v>256</v>
      </c>
      <c r="BS14" s="1356"/>
      <c r="BT14" s="1000"/>
      <c r="BU14" s="1000"/>
      <c r="BV14" s="1000"/>
      <c r="BW14" s="1621"/>
      <c r="BX14" s="1617"/>
    </row>
    <row r="15" spans="1:79" ht="19.5" customHeight="1">
      <c r="A15" s="1004" t="s">
        <v>1528</v>
      </c>
      <c r="B15" s="1005">
        <v>2013</v>
      </c>
      <c r="E15" s="1625" t="s">
        <v>1529</v>
      </c>
      <c r="G15" s="997" t="s">
        <v>1530</v>
      </c>
      <c r="H15" s="997" t="s">
        <v>1531</v>
      </c>
      <c r="I15" s="1008" t="s">
        <v>219</v>
      </c>
      <c r="J15" s="1019" t="s">
        <v>662</v>
      </c>
      <c r="N15" s="1085" t="s">
        <v>1532</v>
      </c>
      <c r="X15" s="1017"/>
      <c r="AW15" s="1047" t="s">
        <v>218</v>
      </c>
      <c r="AX15" s="1047" t="s">
        <v>218</v>
      </c>
      <c r="AZ15" s="1047" t="s">
        <v>1451</v>
      </c>
      <c r="BB15" s="1047" t="s">
        <v>1533</v>
      </c>
      <c r="BC15" s="1047" t="s">
        <v>1517</v>
      </c>
      <c r="BE15" s="1047">
        <v>2013</v>
      </c>
      <c r="BH15" s="998" t="s">
        <v>1456</v>
      </c>
      <c r="BJ15" s="1144" t="s">
        <v>1534</v>
      </c>
      <c r="BL15" s="1144" t="s">
        <v>1534</v>
      </c>
      <c r="BN15" s="998" t="s">
        <v>1535</v>
      </c>
      <c r="BR15" s="1000"/>
      <c r="BS15" s="1358"/>
      <c r="BT15" s="1000"/>
      <c r="BU15" s="1000"/>
      <c r="BV15" s="1000"/>
      <c r="BW15" s="1621"/>
      <c r="BX15" s="1617"/>
    </row>
    <row r="16" spans="1:79" ht="21" customHeight="1">
      <c r="A16" s="1796" t="s">
        <v>1536</v>
      </c>
      <c r="B16" s="1005">
        <v>2014</v>
      </c>
      <c r="E16" s="1626" t="s">
        <v>1537</v>
      </c>
      <c r="G16" s="1006" t="s">
        <v>1538</v>
      </c>
      <c r="H16" s="1006" t="s">
        <v>1539</v>
      </c>
      <c r="I16" s="1008" t="s">
        <v>1540</v>
      </c>
      <c r="J16" s="1019" t="s">
        <v>635</v>
      </c>
      <c r="N16" s="1085" t="s">
        <v>1541</v>
      </c>
      <c r="AW16" s="1047" t="s">
        <v>219</v>
      </c>
      <c r="AX16" s="1047" t="s">
        <v>219</v>
      </c>
      <c r="AZ16" s="1047" t="s">
        <v>1467</v>
      </c>
      <c r="BB16" s="1047" t="s">
        <v>1542</v>
      </c>
      <c r="BC16" s="1047" t="s">
        <v>1517</v>
      </c>
      <c r="BE16" s="1047">
        <v>2014</v>
      </c>
      <c r="BH16" s="998" t="s">
        <v>1472</v>
      </c>
      <c r="BJ16" s="1144" t="s">
        <v>1543</v>
      </c>
      <c r="BL16" s="1144" t="s">
        <v>1543</v>
      </c>
      <c r="BN16" s="998" t="s">
        <v>1544</v>
      </c>
      <c r="BR16" s="1000"/>
      <c r="BS16" s="1358"/>
      <c r="BT16" s="1000"/>
      <c r="BU16" s="1000"/>
      <c r="BV16" s="1000"/>
      <c r="BW16" s="1621"/>
      <c r="BX16" s="1617"/>
    </row>
    <row r="17" spans="1:82" ht="21" customHeight="1">
      <c r="A17" s="1004" t="s">
        <v>1545</v>
      </c>
      <c r="B17" s="1005">
        <v>2015</v>
      </c>
      <c r="G17" s="1006" t="s">
        <v>1492</v>
      </c>
      <c r="H17" s="1006" t="s">
        <v>1492</v>
      </c>
      <c r="I17" s="1006" t="s">
        <v>1546</v>
      </c>
      <c r="N17" s="1085" t="s">
        <v>1547</v>
      </c>
      <c r="X17" s="1017"/>
      <c r="AW17" s="1047" t="s">
        <v>1540</v>
      </c>
      <c r="AX17" s="1047" t="s">
        <v>1540</v>
      </c>
      <c r="AZ17" s="1047" t="s">
        <v>1548</v>
      </c>
      <c r="BB17" s="1047" t="s">
        <v>1549</v>
      </c>
      <c r="BC17" s="1047" t="s">
        <v>1400</v>
      </c>
      <c r="BE17" s="1047">
        <v>2015</v>
      </c>
      <c r="BH17" s="998" t="s">
        <v>1488</v>
      </c>
      <c r="BJ17" s="1144" t="s">
        <v>1550</v>
      </c>
      <c r="BL17" s="1144" t="s">
        <v>1550</v>
      </c>
      <c r="BN17" s="998" t="s">
        <v>1551</v>
      </c>
      <c r="BR17" s="997" t="s">
        <v>1342</v>
      </c>
      <c r="BS17" s="1355"/>
      <c r="BU17" s="997" t="s">
        <v>1552</v>
      </c>
      <c r="BV17" s="1000"/>
      <c r="BW17" s="1617"/>
      <c r="BX17" s="1619" t="s">
        <v>1553</v>
      </c>
      <c r="CA17" s="997" t="s">
        <v>1554</v>
      </c>
      <c r="CD17" s="997" t="s">
        <v>1555</v>
      </c>
    </row>
    <row r="18" spans="1:82" ht="21" customHeight="1">
      <c r="A18" s="1004" t="s">
        <v>1556</v>
      </c>
      <c r="B18" s="1005">
        <v>2016</v>
      </c>
      <c r="E18" s="1928" t="s">
        <v>1557</v>
      </c>
      <c r="I18" s="1006" t="s">
        <v>1558</v>
      </c>
      <c r="N18" s="1085" t="s">
        <v>1559</v>
      </c>
      <c r="X18" s="1017"/>
      <c r="AW18" s="1047" t="s">
        <v>1546</v>
      </c>
      <c r="AX18" s="1047" t="s">
        <v>1546</v>
      </c>
      <c r="BB18" s="1047" t="s">
        <v>1560</v>
      </c>
      <c r="BC18" s="1047" t="s">
        <v>1400</v>
      </c>
      <c r="BE18" s="1047">
        <v>2016</v>
      </c>
      <c r="BH18" s="998" t="s">
        <v>1502</v>
      </c>
      <c r="BJ18" s="1144" t="s">
        <v>1561</v>
      </c>
      <c r="BL18" s="1144" t="s">
        <v>1561</v>
      </c>
      <c r="BN18" s="998" t="s">
        <v>1562</v>
      </c>
      <c r="BQ18" s="1359" t="s">
        <v>1372</v>
      </c>
      <c r="BR18" s="1086" t="s">
        <v>1373</v>
      </c>
      <c r="BS18" s="211"/>
      <c r="BT18" s="1359" t="s">
        <v>1563</v>
      </c>
      <c r="BU18" s="1086" t="s">
        <v>1564</v>
      </c>
      <c r="BV18" s="1000"/>
      <c r="BW18" s="1624" t="s">
        <v>1565</v>
      </c>
      <c r="BX18" s="1618" t="s">
        <v>1566</v>
      </c>
      <c r="BZ18" s="1359" t="s">
        <v>1567</v>
      </c>
      <c r="CA18" s="1086" t="s">
        <v>1568</v>
      </c>
      <c r="CC18" s="1359" t="s">
        <v>1569</v>
      </c>
      <c r="CD18" s="1086" t="s">
        <v>1570</v>
      </c>
    </row>
    <row r="19" spans="1:82" ht="21" customHeight="1">
      <c r="A19" s="1796" t="s">
        <v>1571</v>
      </c>
      <c r="B19" s="1005">
        <v>2017</v>
      </c>
      <c r="E19" s="1004" t="s">
        <v>231</v>
      </c>
      <c r="I19" s="1006" t="s">
        <v>1572</v>
      </c>
      <c r="N19" s="1085" t="s">
        <v>1573</v>
      </c>
      <c r="X19" s="1017"/>
      <c r="AW19" s="1047" t="s">
        <v>1558</v>
      </c>
      <c r="AX19" s="1047" t="s">
        <v>1558</v>
      </c>
      <c r="AZ19" s="997" t="s">
        <v>1574</v>
      </c>
      <c r="BB19" s="1047" t="s">
        <v>1575</v>
      </c>
      <c r="BC19" s="1047" t="s">
        <v>1400</v>
      </c>
      <c r="BE19" s="1047">
        <v>2017</v>
      </c>
      <c r="BH19" s="998" t="s">
        <v>1576</v>
      </c>
      <c r="BJ19" s="1144" t="s">
        <v>1577</v>
      </c>
      <c r="BL19" s="1144" t="s">
        <v>1577</v>
      </c>
      <c r="BQ19" s="1208">
        <v>4190064</v>
      </c>
      <c r="BR19" s="998" t="s">
        <v>1578</v>
      </c>
      <c r="BS19" s="1356"/>
      <c r="BT19" s="1208">
        <v>4189671</v>
      </c>
      <c r="BU19" s="998" t="s">
        <v>1579</v>
      </c>
      <c r="BV19" s="1000"/>
      <c r="BW19" s="1622">
        <v>4189706</v>
      </c>
      <c r="BX19" s="1620" t="s">
        <v>1580</v>
      </c>
      <c r="BZ19" s="1208">
        <v>4189714</v>
      </c>
      <c r="CA19" s="998" t="s">
        <v>1581</v>
      </c>
      <c r="CC19" s="1208">
        <v>4189708</v>
      </c>
      <c r="CD19" s="998" t="s">
        <v>1582</v>
      </c>
    </row>
    <row r="20" spans="1:82" ht="21" customHeight="1">
      <c r="A20" s="1004" t="s">
        <v>1583</v>
      </c>
      <c r="B20" s="1005">
        <v>2018</v>
      </c>
      <c r="E20" s="1004" t="s">
        <v>1331</v>
      </c>
      <c r="I20" s="1006" t="s">
        <v>1584</v>
      </c>
      <c r="N20" s="1085" t="s">
        <v>1585</v>
      </c>
      <c r="AW20" s="1047" t="s">
        <v>1572</v>
      </c>
      <c r="AX20" s="1047" t="s">
        <v>1572</v>
      </c>
      <c r="AZ20" s="1047" t="s">
        <v>1586</v>
      </c>
      <c r="BB20" s="1047" t="s">
        <v>1587</v>
      </c>
      <c r="BC20" s="1047" t="s">
        <v>1517</v>
      </c>
      <c r="BE20" s="1047">
        <v>2018</v>
      </c>
      <c r="BH20" s="998" t="s">
        <v>1513</v>
      </c>
      <c r="BJ20" s="998" t="s">
        <v>1440</v>
      </c>
      <c r="BL20" s="998" t="s">
        <v>1440</v>
      </c>
      <c r="BQ20" s="1208">
        <v>4190065</v>
      </c>
      <c r="BR20" s="998" t="s">
        <v>1588</v>
      </c>
      <c r="BS20" s="1356"/>
      <c r="BT20" s="1208">
        <v>4189672</v>
      </c>
      <c r="BU20" s="998" t="s">
        <v>1589</v>
      </c>
      <c r="BV20" s="1000"/>
      <c r="BW20" s="1622">
        <v>4189705</v>
      </c>
      <c r="BX20" s="1620" t="s">
        <v>1590</v>
      </c>
      <c r="BZ20" s="1208">
        <v>4189713</v>
      </c>
      <c r="CA20" s="998" t="s">
        <v>1590</v>
      </c>
      <c r="CC20" s="1208">
        <v>4189709</v>
      </c>
      <c r="CD20" s="998" t="s">
        <v>1591</v>
      </c>
    </row>
    <row r="21" spans="1:82" ht="21" customHeight="1">
      <c r="A21" s="1004" t="s">
        <v>1592</v>
      </c>
      <c r="B21" s="1005">
        <v>2019</v>
      </c>
      <c r="I21" s="1006" t="s">
        <v>1593</v>
      </c>
      <c r="N21" s="1085" t="s">
        <v>1594</v>
      </c>
      <c r="AW21" s="1047" t="s">
        <v>1584</v>
      </c>
      <c r="AX21" s="1047" t="s">
        <v>1584</v>
      </c>
      <c r="AZ21" s="1047" t="s">
        <v>1595</v>
      </c>
      <c r="BB21" s="1047" t="s">
        <v>1596</v>
      </c>
      <c r="BC21" s="1047" t="s">
        <v>1400</v>
      </c>
      <c r="BE21" s="1047">
        <v>2019</v>
      </c>
      <c r="BH21" s="998" t="s">
        <v>1520</v>
      </c>
      <c r="BJ21" s="998" t="s">
        <v>1456</v>
      </c>
      <c r="BL21" s="998" t="s">
        <v>1456</v>
      </c>
      <c r="BQ21" s="1208">
        <v>4190066</v>
      </c>
      <c r="BR21" s="998" t="s">
        <v>1597</v>
      </c>
      <c r="BS21" s="1356"/>
      <c r="BT21" s="1208">
        <v>4189673</v>
      </c>
      <c r="BU21" s="998" t="s">
        <v>1598</v>
      </c>
      <c r="BV21" s="1000"/>
      <c r="BW21" s="1622">
        <v>4189707</v>
      </c>
      <c r="BX21" s="1620" t="s">
        <v>1599</v>
      </c>
      <c r="BZ21" s="1208">
        <v>4189712</v>
      </c>
      <c r="CA21" s="998" t="s">
        <v>1600</v>
      </c>
      <c r="CC21" s="1208">
        <v>4189710</v>
      </c>
      <c r="CD21" s="998" t="s">
        <v>1601</v>
      </c>
    </row>
    <row r="22" spans="1:82" ht="21" customHeight="1">
      <c r="A22" s="1004" t="s">
        <v>1602</v>
      </c>
      <c r="B22" s="1005">
        <v>2020</v>
      </c>
      <c r="N22" s="1085" t="s">
        <v>1603</v>
      </c>
      <c r="AW22" s="1047" t="s">
        <v>1593</v>
      </c>
      <c r="AX22" s="1047" t="s">
        <v>1593</v>
      </c>
      <c r="AZ22" s="1047" t="s">
        <v>1604</v>
      </c>
      <c r="BB22" s="1047" t="s">
        <v>1605</v>
      </c>
      <c r="BC22" s="1047" t="s">
        <v>1400</v>
      </c>
      <c r="BE22" s="1047">
        <v>2020</v>
      </c>
      <c r="BH22" s="998" t="s">
        <v>1527</v>
      </c>
      <c r="BJ22" s="998" t="s">
        <v>1472</v>
      </c>
      <c r="BL22" s="998" t="s">
        <v>1472</v>
      </c>
      <c r="BQ22" s="1208">
        <v>4190067</v>
      </c>
      <c r="BR22" s="998" t="s">
        <v>1606</v>
      </c>
      <c r="BS22" s="1356"/>
      <c r="BT22" s="1208">
        <v>4189674</v>
      </c>
      <c r="BU22" s="998" t="s">
        <v>1607</v>
      </c>
      <c r="BV22" s="1000"/>
      <c r="BW22" s="1000"/>
      <c r="CC22" s="1208">
        <v>4189711</v>
      </c>
      <c r="CD22" s="998" t="s">
        <v>373</v>
      </c>
    </row>
    <row r="23" spans="1:82" ht="21" customHeight="1">
      <c r="A23" s="1004" t="s">
        <v>1608</v>
      </c>
      <c r="B23" s="1005">
        <v>2021</v>
      </c>
      <c r="AW23" s="1047" t="s">
        <v>1609</v>
      </c>
      <c r="AX23" s="1047" t="s">
        <v>1609</v>
      </c>
      <c r="AZ23" s="1047" t="s">
        <v>1610</v>
      </c>
      <c r="BB23" s="1047" t="s">
        <v>1611</v>
      </c>
      <c r="BC23" s="1047" t="s">
        <v>1308</v>
      </c>
      <c r="BE23" s="1047">
        <v>2021</v>
      </c>
      <c r="BH23" s="998" t="s">
        <v>1535</v>
      </c>
      <c r="BJ23" s="998" t="s">
        <v>1488</v>
      </c>
      <c r="BL23" s="998" t="s">
        <v>1488</v>
      </c>
      <c r="BQ23" s="1208">
        <v>4190068</v>
      </c>
      <c r="BR23" s="998" t="s">
        <v>1612</v>
      </c>
      <c r="BS23" s="1356"/>
      <c r="BT23" s="1208">
        <v>4189675</v>
      </c>
      <c r="BU23" s="998" t="s">
        <v>1613</v>
      </c>
      <c r="BV23" s="1000"/>
      <c r="BW23" s="1000"/>
      <c r="CC23" s="1208">
        <v>5110778</v>
      </c>
      <c r="CD23" s="998" t="s">
        <v>1614</v>
      </c>
    </row>
    <row r="24" spans="1:82" ht="21" customHeight="1">
      <c r="A24" s="1004" t="s">
        <v>1615</v>
      </c>
      <c r="B24" s="1005">
        <v>2022</v>
      </c>
      <c r="AW24" s="1047" t="s">
        <v>1616</v>
      </c>
      <c r="AX24" s="1047" t="s">
        <v>1616</v>
      </c>
      <c r="AZ24" s="1047" t="s">
        <v>1617</v>
      </c>
      <c r="BB24" s="1047" t="s">
        <v>1618</v>
      </c>
      <c r="BC24" s="1047" t="s">
        <v>1619</v>
      </c>
      <c r="BE24" s="1047">
        <v>2022</v>
      </c>
      <c r="BH24" s="998" t="s">
        <v>1544</v>
      </c>
      <c r="BJ24" s="998" t="s">
        <v>1502</v>
      </c>
      <c r="BL24" s="998" t="s">
        <v>1502</v>
      </c>
      <c r="BQ24" s="1208">
        <v>4190069</v>
      </c>
      <c r="BR24" s="998" t="s">
        <v>1620</v>
      </c>
      <c r="BS24" s="1356"/>
      <c r="BT24" s="1208">
        <v>4189676</v>
      </c>
      <c r="BU24" s="998" t="s">
        <v>1621</v>
      </c>
      <c r="BV24" s="1000"/>
      <c r="BW24" s="1000"/>
      <c r="CC24" s="1208">
        <v>25575374</v>
      </c>
      <c r="CD24" s="998" t="s">
        <v>1622</v>
      </c>
    </row>
    <row r="25" spans="1:82" ht="11.25" customHeight="1">
      <c r="A25" s="1004" t="s">
        <v>1623</v>
      </c>
      <c r="B25" s="1005">
        <v>2023</v>
      </c>
      <c r="AW25" s="1047" t="s">
        <v>1624</v>
      </c>
      <c r="AX25" s="1047" t="s">
        <v>1624</v>
      </c>
      <c r="AZ25" s="1047" t="s">
        <v>1625</v>
      </c>
      <c r="BB25" s="1047" t="s">
        <v>1626</v>
      </c>
      <c r="BC25" s="1047" t="s">
        <v>1619</v>
      </c>
      <c r="BE25" s="1047">
        <v>2023</v>
      </c>
      <c r="BH25" s="998" t="s">
        <v>1551</v>
      </c>
      <c r="BJ25" s="998" t="s">
        <v>1576</v>
      </c>
      <c r="BL25" s="998" t="s">
        <v>1576</v>
      </c>
      <c r="BQ25" s="1208">
        <v>4190070</v>
      </c>
      <c r="BR25" s="998" t="s">
        <v>1627</v>
      </c>
      <c r="BS25" s="1356"/>
      <c r="BT25" s="1208">
        <v>4189677</v>
      </c>
      <c r="BU25" s="998" t="s">
        <v>1628</v>
      </c>
      <c r="BV25" s="1000"/>
      <c r="BW25" s="1000"/>
    </row>
    <row r="26" spans="1:82" ht="11.25" customHeight="1">
      <c r="A26" s="1004" t="s">
        <v>1629</v>
      </c>
      <c r="B26" s="1005">
        <v>2024</v>
      </c>
      <c r="J26" s="1658" t="s">
        <v>1630</v>
      </c>
      <c r="AX26" s="1047" t="s">
        <v>1631</v>
      </c>
      <c r="AZ26" s="1047" t="s">
        <v>1495</v>
      </c>
      <c r="BB26" s="1047" t="s">
        <v>1632</v>
      </c>
      <c r="BC26" s="1047" t="s">
        <v>1619</v>
      </c>
      <c r="BE26" s="1047">
        <v>2024</v>
      </c>
      <c r="BH26" s="998" t="s">
        <v>1562</v>
      </c>
      <c r="BJ26" s="998" t="s">
        <v>1513</v>
      </c>
      <c r="BL26" s="998" t="s">
        <v>1513</v>
      </c>
      <c r="BQ26" s="1208">
        <v>4190071</v>
      </c>
      <c r="BR26" s="998" t="s">
        <v>1633</v>
      </c>
      <c r="BS26" s="1356"/>
      <c r="BV26" s="1000"/>
      <c r="BW26" s="1000"/>
    </row>
    <row r="27" spans="1:82" ht="11.25" customHeight="1">
      <c r="A27" s="1004" t="s">
        <v>1634</v>
      </c>
      <c r="B27" s="1005">
        <v>2025</v>
      </c>
      <c r="J27" s="113" t="s">
        <v>103</v>
      </c>
      <c r="AX27" s="1047" t="s">
        <v>1635</v>
      </c>
      <c r="BB27" s="1047" t="s">
        <v>1636</v>
      </c>
      <c r="BC27" s="1047" t="s">
        <v>1619</v>
      </c>
      <c r="BE27" s="1047">
        <v>2025</v>
      </c>
      <c r="BH27" s="1000" t="s">
        <v>28</v>
      </c>
      <c r="BJ27" s="998" t="s">
        <v>1520</v>
      </c>
      <c r="BL27" s="998" t="s">
        <v>1520</v>
      </c>
      <c r="BN27" s="1000" t="s">
        <v>28</v>
      </c>
      <c r="BQ27" s="1208">
        <v>4190072</v>
      </c>
      <c r="BR27" s="998" t="s">
        <v>1637</v>
      </c>
      <c r="BS27" s="1356"/>
      <c r="BV27" s="1000"/>
      <c r="BW27" s="1000"/>
    </row>
    <row r="28" spans="1:82" ht="11.25" customHeight="1">
      <c r="A28" s="1004" t="s">
        <v>1638</v>
      </c>
      <c r="D28" s="1029"/>
      <c r="E28" s="1030"/>
      <c r="F28" s="1030"/>
      <c r="H28" s="1031" t="s">
        <v>1639</v>
      </c>
      <c r="AX28" s="1047" t="s">
        <v>1640</v>
      </c>
      <c r="AZ28" s="997" t="s">
        <v>1641</v>
      </c>
      <c r="BB28" s="1047" t="s">
        <v>1642</v>
      </c>
      <c r="BC28" s="1047" t="s">
        <v>1643</v>
      </c>
      <c r="BE28" s="1047">
        <v>2026</v>
      </c>
      <c r="BH28" s="1000" t="s">
        <v>28</v>
      </c>
      <c r="BJ28" s="998" t="s">
        <v>1527</v>
      </c>
      <c r="BL28" s="998" t="s">
        <v>1527</v>
      </c>
      <c r="BN28" s="1000" t="s">
        <v>28</v>
      </c>
      <c r="BQ28" s="1208">
        <v>4190073</v>
      </c>
      <c r="BR28" s="998" t="s">
        <v>1644</v>
      </c>
      <c r="BS28" s="1356"/>
      <c r="BV28" s="1000"/>
      <c r="BW28" s="1000"/>
    </row>
    <row r="29" spans="1:82" ht="11.25" customHeight="1">
      <c r="A29" s="1004" t="s">
        <v>1645</v>
      </c>
      <c r="D29" s="1032" t="s">
        <v>1646</v>
      </c>
      <c r="E29" s="1033" t="str">
        <f>IF(TEMPLATE_GROUP="","",INDEX(StartDateList,MATCH(TEMPLATE_GROUP,CodeTemplateList,0),1))</f>
        <v>01.01.2025</v>
      </c>
      <c r="F29" s="1033" t="str">
        <f>IF(TEMPLATE_GROUP="","",INDEX(EndDateList,MATCH(TEMPLATE_GROUP,CodeTemplateList,0),1))</f>
        <v>31.12.2025</v>
      </c>
      <c r="H29" s="1034" t="s">
        <v>1647</v>
      </c>
      <c r="AX29" s="1047" t="s">
        <v>1648</v>
      </c>
      <c r="AZ29" s="1047" t="s">
        <v>1292</v>
      </c>
      <c r="BB29" s="1047" t="s">
        <v>1495</v>
      </c>
      <c r="BC29" s="1020"/>
      <c r="BE29" s="1047">
        <v>2027</v>
      </c>
      <c r="BJ29" s="998" t="s">
        <v>1535</v>
      </c>
      <c r="BL29" s="998" t="s">
        <v>1535</v>
      </c>
    </row>
    <row r="30" spans="1:82" ht="11.25" customHeight="1">
      <c r="A30" s="1004" t="s">
        <v>1649</v>
      </c>
      <c r="D30" s="1035"/>
      <c r="E30" s="1036"/>
      <c r="F30" s="1036"/>
      <c r="AX30" s="1047" t="s">
        <v>1650</v>
      </c>
      <c r="AZ30" s="1047" t="s">
        <v>1320</v>
      </c>
      <c r="BE30" s="1047">
        <v>2028</v>
      </c>
      <c r="BJ30" s="998" t="s">
        <v>1651</v>
      </c>
      <c r="BL30" s="998" t="s">
        <v>1651</v>
      </c>
    </row>
    <row r="31" spans="1:82" ht="12.75" customHeight="1">
      <c r="A31" s="1004" t="s">
        <v>1652</v>
      </c>
      <c r="D31" s="1029"/>
      <c r="E31" s="1030"/>
      <c r="F31" s="1030"/>
      <c r="H31" s="1037"/>
      <c r="AX31" s="1047" t="s">
        <v>1653</v>
      </c>
      <c r="AZ31" s="1047" t="s">
        <v>1654</v>
      </c>
      <c r="BE31" s="1047">
        <v>2029</v>
      </c>
      <c r="BJ31" s="998" t="s">
        <v>1655</v>
      </c>
      <c r="BL31" s="998" t="s">
        <v>1655</v>
      </c>
    </row>
    <row r="32" spans="1:82" ht="11.25" customHeight="1">
      <c r="A32" s="1004" t="s">
        <v>1656</v>
      </c>
      <c r="D32" s="1032" t="s">
        <v>1657</v>
      </c>
      <c r="E32" s="1033" t="str">
        <f>IF(TEMPLATE_GROUP="","",INDEX(StartDateList,MATCH(TEMPLATE_GROUP,CodeTemplateList,0),1))</f>
        <v>01.01.2025</v>
      </c>
      <c r="F32" s="1033" t="str">
        <f>IF(TEMPLATE_GROUP="","",INDEX(EndDateList,MATCH(TEMPLATE_GROUP,CodeTemplateList,0),1))</f>
        <v>31.12.2025</v>
      </c>
      <c r="H32" s="1038" t="s">
        <v>1658</v>
      </c>
      <c r="O32" s="1004" t="s">
        <v>1291</v>
      </c>
      <c r="AX32" s="1047" t="s">
        <v>1659</v>
      </c>
      <c r="AZ32" s="1047" t="s">
        <v>1388</v>
      </c>
      <c r="BE32" s="1047">
        <v>2030</v>
      </c>
      <c r="BJ32" s="998" t="s">
        <v>1544</v>
      </c>
      <c r="BL32" s="998" t="s">
        <v>1544</v>
      </c>
    </row>
    <row r="33" spans="1:66" ht="11.25" customHeight="1">
      <c r="A33" s="1004" t="s">
        <v>1660</v>
      </c>
      <c r="O33" s="1004" t="s">
        <v>1317</v>
      </c>
      <c r="AX33" s="1047" t="s">
        <v>1661</v>
      </c>
      <c r="AZ33" s="1047" t="s">
        <v>573</v>
      </c>
      <c r="BE33" s="1047">
        <v>2031</v>
      </c>
      <c r="BJ33" s="998" t="s">
        <v>1551</v>
      </c>
      <c r="BL33" s="998" t="s">
        <v>1551</v>
      </c>
    </row>
    <row r="34" spans="1:66" ht="11.25" customHeight="1">
      <c r="A34" s="1004" t="s">
        <v>1662</v>
      </c>
      <c r="O34" s="1004" t="s">
        <v>1353</v>
      </c>
      <c r="AX34" s="1047" t="s">
        <v>1663</v>
      </c>
      <c r="BE34" s="1047">
        <v>2032</v>
      </c>
      <c r="BJ34" s="998" t="s">
        <v>1562</v>
      </c>
      <c r="BL34" s="998" t="s">
        <v>1562</v>
      </c>
    </row>
    <row r="35" spans="1:66" ht="11.25" customHeight="1">
      <c r="A35" s="1004" t="s">
        <v>1664</v>
      </c>
      <c r="O35" s="1004" t="s">
        <v>1386</v>
      </c>
      <c r="AX35" s="1047" t="s">
        <v>1665</v>
      </c>
      <c r="AZ35" s="997" t="s">
        <v>1666</v>
      </c>
      <c r="BE35" s="1047">
        <v>2033</v>
      </c>
      <c r="BL35" s="998" t="s">
        <v>1667</v>
      </c>
    </row>
    <row r="36" spans="1:66" ht="11.25" customHeight="1">
      <c r="A36" s="1796" t="s">
        <v>1668</v>
      </c>
      <c r="D36" s="1039" t="s">
        <v>1669</v>
      </c>
      <c r="E36" s="1040" t="s">
        <v>932</v>
      </c>
      <c r="F36" s="1041" t="str">
        <f>INDEX(E37:E41,MATCH(TEMPLATE_SPHERE,F37:F41,0))</f>
        <v>холодного водоснабжения</v>
      </c>
      <c r="G36" s="1041" t="str">
        <f>INDEX(G37:G41,MATCH(TEMPLATE_SPHERE,F37:F41,0))</f>
        <v>холодное водоснабжение</v>
      </c>
      <c r="O36" s="1004" t="s">
        <v>1411</v>
      </c>
      <c r="AX36" s="1047" t="s">
        <v>1670</v>
      </c>
      <c r="AZ36" s="1047" t="s">
        <v>573</v>
      </c>
      <c r="BE36" s="1047">
        <v>2034</v>
      </c>
      <c r="BL36" s="998" t="s">
        <v>1671</v>
      </c>
    </row>
    <row r="37" spans="1:66" ht="11.25" customHeight="1">
      <c r="A37" s="1004" t="s">
        <v>1672</v>
      </c>
      <c r="E37" s="344" t="s">
        <v>1673</v>
      </c>
      <c r="F37" s="1042" t="s">
        <v>886</v>
      </c>
      <c r="G37" s="344" t="s">
        <v>1674</v>
      </c>
      <c r="O37" s="1004" t="s">
        <v>1430</v>
      </c>
      <c r="AX37" s="1047" t="s">
        <v>1675</v>
      </c>
      <c r="AZ37" s="1047" t="s">
        <v>1319</v>
      </c>
      <c r="BE37" s="1047">
        <v>2035</v>
      </c>
    </row>
    <row r="38" spans="1:66" ht="11.25" customHeight="1">
      <c r="A38" s="1004" t="s">
        <v>1676</v>
      </c>
      <c r="E38" s="344" t="s">
        <v>1677</v>
      </c>
      <c r="F38" s="1043" t="s">
        <v>932</v>
      </c>
      <c r="G38" s="344" t="s">
        <v>1678</v>
      </c>
      <c r="O38" s="1004" t="s">
        <v>1447</v>
      </c>
      <c r="AX38" s="1047" t="s">
        <v>1679</v>
      </c>
      <c r="AZ38" s="1047" t="s">
        <v>1354</v>
      </c>
      <c r="BE38" s="1047">
        <v>2036</v>
      </c>
      <c r="BH38" s="997" t="s">
        <v>1680</v>
      </c>
      <c r="BJ38" s="997" t="s">
        <v>1681</v>
      </c>
      <c r="BL38" s="997" t="s">
        <v>1682</v>
      </c>
      <c r="BN38" s="997" t="s">
        <v>1683</v>
      </c>
    </row>
    <row r="39" spans="1:66" ht="11.25" customHeight="1">
      <c r="A39" s="1004" t="s">
        <v>1684</v>
      </c>
      <c r="E39" s="344" t="s">
        <v>1685</v>
      </c>
      <c r="F39" s="1043" t="s">
        <v>985</v>
      </c>
      <c r="G39" s="344" t="s">
        <v>1686</v>
      </c>
      <c r="O39" s="1004" t="s">
        <v>1463</v>
      </c>
      <c r="AX39" s="1047" t="s">
        <v>1687</v>
      </c>
      <c r="AZ39" s="1047" t="s">
        <v>1387</v>
      </c>
      <c r="BE39" s="1047">
        <v>2037</v>
      </c>
      <c r="BH39" s="998" t="s">
        <v>1688</v>
      </c>
      <c r="BJ39" s="1144" t="s">
        <v>1688</v>
      </c>
      <c r="BL39" s="1144" t="s">
        <v>1688</v>
      </c>
      <c r="BN39" s="998" t="s">
        <v>1689</v>
      </c>
    </row>
    <row r="40" spans="1:66" ht="11.25" customHeight="1">
      <c r="A40" s="1004" t="s">
        <v>1690</v>
      </c>
      <c r="E40" s="344" t="s">
        <v>1691</v>
      </c>
      <c r="F40" s="1043" t="s">
        <v>972</v>
      </c>
      <c r="G40" s="344" t="s">
        <v>1692</v>
      </c>
      <c r="O40" s="1004" t="s">
        <v>1479</v>
      </c>
      <c r="AX40" s="1047" t="s">
        <v>1693</v>
      </c>
      <c r="BE40" s="1047">
        <v>2038</v>
      </c>
      <c r="BH40" s="998" t="s">
        <v>1694</v>
      </c>
      <c r="BJ40" s="1144" t="s">
        <v>1105</v>
      </c>
      <c r="BL40" s="1144" t="s">
        <v>1105</v>
      </c>
      <c r="BN40" s="998" t="s">
        <v>1139</v>
      </c>
    </row>
    <row r="41" spans="1:66" ht="11.25" customHeight="1">
      <c r="A41" s="1004" t="s">
        <v>1695</v>
      </c>
      <c r="E41" s="344" t="s">
        <v>1696</v>
      </c>
      <c r="F41" s="1043" t="s">
        <v>1697</v>
      </c>
      <c r="G41" s="344" t="s">
        <v>1696</v>
      </c>
      <c r="O41" s="1004" t="s">
        <v>1495</v>
      </c>
      <c r="AX41" s="1047" t="s">
        <v>1698</v>
      </c>
      <c r="AZ41" s="997" t="s">
        <v>1699</v>
      </c>
      <c r="BE41" s="1047">
        <v>2039</v>
      </c>
      <c r="BH41" s="998" t="s">
        <v>1700</v>
      </c>
      <c r="BJ41" s="1144" t="s">
        <v>1101</v>
      </c>
      <c r="BL41" s="1144" t="s">
        <v>1101</v>
      </c>
      <c r="BN41" s="998" t="s">
        <v>1126</v>
      </c>
    </row>
    <row r="42" spans="1:66" ht="11.25" customHeight="1">
      <c r="A42" s="1004" t="s">
        <v>1701</v>
      </c>
      <c r="AX42" s="1047" t="s">
        <v>1702</v>
      </c>
      <c r="AZ42" s="1047" t="s">
        <v>1291</v>
      </c>
      <c r="BE42" s="1047">
        <v>2040</v>
      </c>
      <c r="BH42" s="998" t="s">
        <v>1123</v>
      </c>
      <c r="BJ42" s="1144" t="s">
        <v>1103</v>
      </c>
      <c r="BL42" s="1144" t="s">
        <v>1103</v>
      </c>
      <c r="BN42" s="998" t="s">
        <v>1703</v>
      </c>
    </row>
    <row r="43" spans="1:66" ht="11.25" customHeight="1">
      <c r="A43" s="1004" t="s">
        <v>1704</v>
      </c>
      <c r="AX43" s="1047" t="s">
        <v>1705</v>
      </c>
      <c r="AZ43" s="1047" t="s">
        <v>1317</v>
      </c>
      <c r="BE43" s="1047">
        <v>2041</v>
      </c>
      <c r="BH43" s="998" t="s">
        <v>1706</v>
      </c>
      <c r="BJ43" s="1144" t="s">
        <v>1700</v>
      </c>
      <c r="BL43" s="1144" t="s">
        <v>1700</v>
      </c>
      <c r="BN43" s="998" t="s">
        <v>1707</v>
      </c>
    </row>
    <row r="44" spans="1:66" ht="11.25" customHeight="1">
      <c r="A44" s="1004" t="s">
        <v>1708</v>
      </c>
      <c r="G44" s="1023">
        <f ca="1">YEAR(TODAY())</f>
        <v>2024</v>
      </c>
      <c r="I44" s="730" t="s">
        <v>1709</v>
      </c>
      <c r="J44" s="1019" t="s">
        <v>1710</v>
      </c>
      <c r="K44" s="1019" t="s">
        <v>1711</v>
      </c>
      <c r="AX44" s="1047" t="s">
        <v>1712</v>
      </c>
      <c r="AZ44" s="1047" t="s">
        <v>1353</v>
      </c>
      <c r="BE44" s="1047">
        <v>2042</v>
      </c>
      <c r="BH44" s="998" t="s">
        <v>1713</v>
      </c>
      <c r="BJ44" s="1144" t="s">
        <v>1123</v>
      </c>
      <c r="BL44" s="1144" t="s">
        <v>1123</v>
      </c>
      <c r="BN44" s="998" t="s">
        <v>1714</v>
      </c>
    </row>
    <row r="45" spans="1:66" ht="11.25" customHeight="1">
      <c r="A45" s="1004" t="s">
        <v>1715</v>
      </c>
      <c r="D45" s="1039" t="s">
        <v>1716</v>
      </c>
      <c r="E45" s="1040" t="s">
        <v>1717</v>
      </c>
      <c r="F45" s="728" t="s">
        <v>1718</v>
      </c>
      <c r="G45" s="727" t="s">
        <v>1719</v>
      </c>
      <c r="H45" s="730" t="s">
        <v>1720</v>
      </c>
      <c r="I45" s="1668" t="b">
        <f>INDEX(PeriodIsEmptyList,MATCH(TEMPLATE_GROUP,CodeTemplateList,0),1)</f>
        <v>0</v>
      </c>
      <c r="J45" s="1671" t="str">
        <f>INDEX(NameTemplatesInTitleList,MATCH(TEMPLATE_GROUP,CodeTemplateList,0),1)</f>
        <v>Показатели, подлежащие раскрытию в сфере холодного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1721</v>
      </c>
      <c r="AZ45" s="1047" t="s">
        <v>1386</v>
      </c>
      <c r="BE45" s="1047">
        <v>2043</v>
      </c>
      <c r="BH45" s="998" t="s">
        <v>1722</v>
      </c>
      <c r="BJ45" s="1144" t="s">
        <v>1117</v>
      </c>
      <c r="BL45" s="1144" t="s">
        <v>1117</v>
      </c>
      <c r="BN45" s="998" t="s">
        <v>1723</v>
      </c>
    </row>
    <row r="46" spans="1:66" ht="11.25" customHeight="1">
      <c r="A46" s="1004" t="s">
        <v>1724</v>
      </c>
      <c r="E46" s="344" t="s">
        <v>26</v>
      </c>
      <c r="F46" s="1042" t="s">
        <v>1725</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123</v>
      </c>
      <c r="AZ46" s="1047" t="s">
        <v>1411</v>
      </c>
      <c r="BE46" s="1047">
        <v>2044</v>
      </c>
      <c r="BH46" s="998" t="s">
        <v>1126</v>
      </c>
      <c r="BJ46" s="1144" t="s">
        <v>1107</v>
      </c>
      <c r="BL46" s="1144" t="s">
        <v>1107</v>
      </c>
      <c r="BN46" s="998" t="s">
        <v>1726</v>
      </c>
    </row>
    <row r="47" spans="1:66" ht="11.25" customHeight="1">
      <c r="A47" s="1004" t="s">
        <v>1727</v>
      </c>
      <c r="E47" s="344" t="s">
        <v>33</v>
      </c>
      <c r="F47" s="1043" t="s">
        <v>1728</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1729</v>
      </c>
      <c r="AZ47" s="1047" t="s">
        <v>1430</v>
      </c>
      <c r="BE47" s="1047">
        <v>2045</v>
      </c>
      <c r="BH47" s="998" t="s">
        <v>1703</v>
      </c>
      <c r="BJ47" s="1144" t="s">
        <v>1109</v>
      </c>
      <c r="BL47" s="1144" t="s">
        <v>1109</v>
      </c>
      <c r="BN47" s="998" t="s">
        <v>1730</v>
      </c>
    </row>
    <row r="48" spans="1:66" ht="11.25" customHeight="1">
      <c r="A48" s="1004" t="s">
        <v>1731</v>
      </c>
      <c r="E48" s="344" t="s">
        <v>1732</v>
      </c>
      <c r="F48" s="1043" t="s">
        <v>1733</v>
      </c>
      <c r="G48" s="1044" t="str">
        <f ca="1">IFERROR(IF(f_year="","01.01."&amp;CURRENT_YEAR,"01.01."&amp;f_year),"01.01."&amp;CURRENT_YEAR)</f>
        <v>01.01.2024</v>
      </c>
      <c r="H48" s="1044" t="str">
        <f ca="1">IFERROR(IF(f_year="","31.12."&amp;CURRENT_YEAR,"31.12."&amp;f_year),"31.12."&amp;CURRENT_YEAR)</f>
        <v>31.12.2024</v>
      </c>
      <c r="I48" s="1669" t="b">
        <f>IF(f_year="",TRUE,FALSE)</f>
        <v>1</v>
      </c>
      <c r="J48" s="1672" t="s">
        <v>1734</v>
      </c>
      <c r="K48" s="1673"/>
      <c r="AX48" s="1047" t="s">
        <v>1735</v>
      </c>
      <c r="AZ48" s="1047" t="s">
        <v>1447</v>
      </c>
      <c r="BE48" s="1047">
        <v>2046</v>
      </c>
      <c r="BH48" s="998" t="s">
        <v>1707</v>
      </c>
      <c r="BJ48" s="1144" t="s">
        <v>1111</v>
      </c>
      <c r="BL48" s="1144" t="s">
        <v>1111</v>
      </c>
      <c r="BN48" s="998" t="s">
        <v>1736</v>
      </c>
    </row>
    <row r="49" spans="1:64" ht="11.25" customHeight="1">
      <c r="A49" s="1004" t="s">
        <v>1737</v>
      </c>
      <c r="E49" s="344" t="s">
        <v>1738</v>
      </c>
      <c r="F49" s="1043" t="s">
        <v>1739</v>
      </c>
      <c r="G49" s="1044" t="str">
        <f ca="1">IFERROR(IF(f_year="","01.01."&amp;CURRENT_YEAR,"01.01."&amp;f_year),"01.01."&amp;CURRENT_YEAR)</f>
        <v>01.01.2024</v>
      </c>
      <c r="H49" s="1044"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1740</v>
      </c>
      <c r="AZ49" s="1047" t="s">
        <v>1463</v>
      </c>
      <c r="BE49" s="1047">
        <v>2047</v>
      </c>
      <c r="BH49" s="998" t="s">
        <v>1127</v>
      </c>
      <c r="BJ49" s="1144" t="s">
        <v>1113</v>
      </c>
      <c r="BL49" s="1144" t="s">
        <v>1113</v>
      </c>
    </row>
    <row r="50" spans="1:64" ht="11.25" customHeight="1">
      <c r="A50" s="1004" t="s">
        <v>1741</v>
      </c>
      <c r="E50" s="344" t="s">
        <v>1742</v>
      </c>
      <c r="F50" s="1043" t="s">
        <v>1097</v>
      </c>
      <c r="G50" s="1044" t="str">
        <f ca="1">IFERROR(IF(f_year="","01.01."&amp;CURRENT_YEAR,"01.01."&amp;f_year),"01.01."&amp;CURRENT_YEAR)</f>
        <v>01.01.2024</v>
      </c>
      <c r="H50" s="1044"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1743</v>
      </c>
      <c r="AZ50" s="1047" t="s">
        <v>1479</v>
      </c>
      <c r="BE50" s="1047">
        <v>2048</v>
      </c>
      <c r="BH50" s="998" t="s">
        <v>1714</v>
      </c>
      <c r="BJ50" s="1144" t="s">
        <v>1115</v>
      </c>
      <c r="BL50" s="1144" t="s">
        <v>1115</v>
      </c>
    </row>
    <row r="51" spans="1:64" ht="11.25" customHeight="1">
      <c r="A51" s="1004" t="s">
        <v>1744</v>
      </c>
      <c r="E51" s="344" t="s">
        <v>1745</v>
      </c>
      <c r="F51" s="1043" t="s">
        <v>1746</v>
      </c>
      <c r="G51" s="1044" t="str">
        <f>IFERROR(IF(TITLE_PERIOD_START="","01.01."&amp;CURRENT_YEAR,"01.01."&amp;YEAR(TITLE_PERIOD_START)),"01.01."&amp;CURRENT_YEAR)</f>
        <v>01.01.2025</v>
      </c>
      <c r="H51" s="1044"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128</v>
      </c>
      <c r="AZ51" s="1047" t="s">
        <v>1495</v>
      </c>
      <c r="BE51" s="1047">
        <v>2049</v>
      </c>
      <c r="BH51" s="998" t="s">
        <v>1723</v>
      </c>
      <c r="BJ51" s="1144" t="s">
        <v>1747</v>
      </c>
      <c r="BL51" s="1144" t="s">
        <v>1747</v>
      </c>
    </row>
    <row r="52" spans="1:64" ht="11.25" customHeight="1">
      <c r="A52" s="1004" t="s">
        <v>1748</v>
      </c>
      <c r="E52" s="344" t="s">
        <v>1749</v>
      </c>
      <c r="F52" s="1043" t="s">
        <v>1717</v>
      </c>
      <c r="G52" s="1044" t="str">
        <f>IFERROR(IF(TITLE_PERIOD_START="","01.01."&amp;CURRENT_YEAR,"01.01."&amp;YEAR(TITLE_PERIOD_START)),"01.01."&amp;CURRENT_YEAR)</f>
        <v>01.01.2025</v>
      </c>
      <c r="H52" s="1044"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1750</v>
      </c>
      <c r="AZ52" s="1047" t="s">
        <v>573</v>
      </c>
      <c r="BE52" s="1047">
        <v>2050</v>
      </c>
      <c r="BH52" s="998" t="s">
        <v>1726</v>
      </c>
      <c r="BJ52" s="1144" t="s">
        <v>1126</v>
      </c>
      <c r="BL52" s="1144" t="s">
        <v>1126</v>
      </c>
    </row>
    <row r="53" spans="1:64" ht="11.25" customHeight="1">
      <c r="A53" s="1004" t="s">
        <v>1751</v>
      </c>
      <c r="E53" s="344" t="s">
        <v>1752</v>
      </c>
      <c r="F53" s="1043" t="s">
        <v>1752</v>
      </c>
      <c r="G53" s="1044" t="str">
        <f ca="1">IFERROR(IF(f_year="","01.01."&amp;CURRENT_YEAR,"01.01."&amp;f_year),"01.01."&amp;CURRENT_YEAR)</f>
        <v>01.01.2024</v>
      </c>
      <c r="H53" s="1044" t="str">
        <f ca="1">IFERROR(IF(f_year="","31.12."&amp;CURRENT_YEAR,"31.12."&amp;f_year),"31.12."&amp;CURRENT_YEAR)</f>
        <v>31.12.2024</v>
      </c>
      <c r="I53" s="1669" t="b">
        <f>IF(AND(f_year="",TITLE_DATE_FIL=""),TRUE,FALSE)</f>
        <v>1</v>
      </c>
      <c r="J53" s="1672" t="s">
        <v>1753</v>
      </c>
      <c r="K53" s="1673"/>
      <c r="AX53" s="1047" t="s">
        <v>1754</v>
      </c>
      <c r="BE53" s="1047">
        <v>2051</v>
      </c>
      <c r="BH53" s="998" t="s">
        <v>1730</v>
      </c>
      <c r="BJ53" s="1144" t="s">
        <v>1703</v>
      </c>
      <c r="BL53" s="1144" t="s">
        <v>1703</v>
      </c>
    </row>
    <row r="54" spans="1:64" ht="11.25" customHeight="1">
      <c r="A54" s="1004" t="s">
        <v>1755</v>
      </c>
      <c r="AX54" s="1047" t="s">
        <v>1756</v>
      </c>
      <c r="AZ54" s="997" t="s">
        <v>1757</v>
      </c>
      <c r="BE54" s="1047">
        <v>2052</v>
      </c>
      <c r="BH54" s="998" t="s">
        <v>1736</v>
      </c>
      <c r="BJ54" s="1144" t="s">
        <v>1707</v>
      </c>
      <c r="BL54" s="1144" t="s">
        <v>1707</v>
      </c>
    </row>
    <row r="55" spans="1:64" ht="11.25" customHeight="1">
      <c r="A55" s="1004" t="s">
        <v>1758</v>
      </c>
      <c r="AX55" s="1047" t="s">
        <v>1759</v>
      </c>
      <c r="AZ55" s="1047" t="s">
        <v>1293</v>
      </c>
      <c r="BE55" s="1047">
        <v>2053</v>
      </c>
      <c r="BH55" s="1000" t="s">
        <v>28</v>
      </c>
      <c r="BJ55" s="1144" t="s">
        <v>1127</v>
      </c>
      <c r="BL55" s="1144" t="s">
        <v>1127</v>
      </c>
    </row>
    <row r="56" spans="1:64" ht="11.25" customHeight="1">
      <c r="A56" s="1004" t="s">
        <v>1760</v>
      </c>
      <c r="D56" s="1046" t="s">
        <v>1761</v>
      </c>
      <c r="E56" s="1024" t="s">
        <v>1762</v>
      </c>
      <c r="F56" s="1004" t="s">
        <v>1763</v>
      </c>
      <c r="AX56" s="1047" t="s">
        <v>1764</v>
      </c>
      <c r="AZ56" s="1047" t="s">
        <v>1321</v>
      </c>
      <c r="BE56" s="1047">
        <v>2054</v>
      </c>
      <c r="BH56" s="1000" t="s">
        <v>28</v>
      </c>
      <c r="BJ56" s="1144" t="s">
        <v>1714</v>
      </c>
      <c r="BL56" s="1144" t="s">
        <v>1714</v>
      </c>
    </row>
    <row r="57" spans="1:64" ht="11.25" customHeight="1">
      <c r="A57" s="1004" t="s">
        <v>1765</v>
      </c>
      <c r="D57" s="1046" t="s">
        <v>1766</v>
      </c>
      <c r="E57" s="1024" t="s">
        <v>127</v>
      </c>
      <c r="F57" s="1004" t="s">
        <v>1763</v>
      </c>
      <c r="AX57" s="1047" t="s">
        <v>1767</v>
      </c>
      <c r="AZ57" s="1047" t="s">
        <v>1356</v>
      </c>
      <c r="BE57" s="1047">
        <v>2055</v>
      </c>
      <c r="BJ57" s="1144" t="s">
        <v>1723</v>
      </c>
      <c r="BL57" s="1144" t="s">
        <v>1723</v>
      </c>
    </row>
    <row r="58" spans="1:64" ht="11.25" customHeight="1">
      <c r="A58" s="1004" t="s">
        <v>1768</v>
      </c>
      <c r="D58" s="1046" t="s">
        <v>1769</v>
      </c>
      <c r="E58" s="1024" t="s">
        <v>127</v>
      </c>
      <c r="F58" s="1004" t="s">
        <v>1763</v>
      </c>
      <c r="AX58" s="1047" t="s">
        <v>1770</v>
      </c>
      <c r="BE58" s="1047">
        <v>2056</v>
      </c>
      <c r="BJ58" s="1144" t="s">
        <v>1726</v>
      </c>
      <c r="BL58" s="1144" t="s">
        <v>1726</v>
      </c>
    </row>
    <row r="59" spans="1:64" ht="11.25" customHeight="1">
      <c r="A59" s="1004" t="s">
        <v>1771</v>
      </c>
      <c r="D59" s="1046" t="s">
        <v>197</v>
      </c>
      <c r="E59" s="1024" t="s">
        <v>1659</v>
      </c>
      <c r="F59" s="1004" t="s">
        <v>1772</v>
      </c>
      <c r="AX59" s="1047" t="s">
        <v>1773</v>
      </c>
      <c r="AZ59" s="997" t="s">
        <v>1774</v>
      </c>
      <c r="BE59" s="1047">
        <v>2057</v>
      </c>
      <c r="BJ59" s="1144" t="s">
        <v>1730</v>
      </c>
      <c r="BL59" s="1144" t="s">
        <v>1730</v>
      </c>
    </row>
    <row r="60" spans="1:64" ht="11.25" customHeight="1">
      <c r="A60" s="1004" t="s">
        <v>1775</v>
      </c>
      <c r="D60" s="1046" t="s">
        <v>1776</v>
      </c>
      <c r="E60" s="1024" t="s">
        <v>1659</v>
      </c>
      <c r="F60" s="1004" t="s">
        <v>1772</v>
      </c>
      <c r="AX60" s="1047" t="s">
        <v>1777</v>
      </c>
      <c r="AZ60" s="1047" t="s">
        <v>1294</v>
      </c>
      <c r="BE60" s="1047">
        <v>2058</v>
      </c>
      <c r="BJ60" s="1144" t="s">
        <v>1736</v>
      </c>
      <c r="BL60" s="1144" t="s">
        <v>1736</v>
      </c>
    </row>
    <row r="61" spans="1:64" ht="11.25" customHeight="1">
      <c r="A61" s="1004" t="s">
        <v>1778</v>
      </c>
      <c r="D61" s="1046" t="s">
        <v>1779</v>
      </c>
      <c r="E61" s="1024" t="s">
        <v>1659</v>
      </c>
      <c r="F61" s="1004" t="s">
        <v>1772</v>
      </c>
      <c r="AX61" s="1047" t="s">
        <v>1780</v>
      </c>
      <c r="AZ61" s="1047" t="s">
        <v>1322</v>
      </c>
      <c r="BE61" s="1047">
        <v>2059</v>
      </c>
      <c r="BL61" s="1144" t="s">
        <v>1119</v>
      </c>
    </row>
    <row r="62" spans="1:64" ht="11.25" customHeight="1">
      <c r="A62" s="1004" t="s">
        <v>1781</v>
      </c>
      <c r="D62" s="1046" t="s">
        <v>196</v>
      </c>
      <c r="E62" s="1024">
        <v>33</v>
      </c>
      <c r="F62" s="1004" t="s">
        <v>1772</v>
      </c>
      <c r="AZ62" s="1047" t="s">
        <v>1357</v>
      </c>
      <c r="BE62" s="1047">
        <v>2060</v>
      </c>
      <c r="BL62" s="1144" t="s">
        <v>1121</v>
      </c>
    </row>
    <row r="63" spans="1:64" ht="11.25" customHeight="1">
      <c r="A63" s="1004" t="s">
        <v>1782</v>
      </c>
      <c r="D63" s="1046" t="s">
        <v>1783</v>
      </c>
      <c r="E63" s="1024">
        <v>33</v>
      </c>
      <c r="F63" s="1004" t="s">
        <v>1772</v>
      </c>
      <c r="AZ63" s="1047" t="s">
        <v>1389</v>
      </c>
      <c r="BE63" s="1047">
        <v>2061</v>
      </c>
    </row>
    <row r="64" spans="1:64" ht="11.25" customHeight="1">
      <c r="A64" s="1004" t="s">
        <v>1784</v>
      </c>
      <c r="D64" s="1046" t="s">
        <v>1785</v>
      </c>
      <c r="E64" s="1024">
        <v>33</v>
      </c>
      <c r="F64" s="1004" t="s">
        <v>1772</v>
      </c>
      <c r="AZ64" s="1047" t="s">
        <v>1412</v>
      </c>
      <c r="BE64" s="1047">
        <v>2062</v>
      </c>
    </row>
    <row r="65" spans="1:66" ht="11.25" customHeight="1">
      <c r="A65" s="1004" t="s">
        <v>1786</v>
      </c>
      <c r="D65" s="1004"/>
      <c r="BE65" s="1047">
        <v>2063</v>
      </c>
    </row>
    <row r="66" spans="1:66" ht="11.25" customHeight="1">
      <c r="A66" s="1004" t="s">
        <v>1787</v>
      </c>
      <c r="AZ66" s="997" t="s">
        <v>1788</v>
      </c>
      <c r="BE66" s="1047">
        <v>2064</v>
      </c>
    </row>
    <row r="67" spans="1:66" ht="11.25" customHeight="1">
      <c r="A67" s="1004" t="s">
        <v>1789</v>
      </c>
      <c r="AZ67" s="1047" t="s">
        <v>1295</v>
      </c>
      <c r="BE67" s="1047">
        <v>2065</v>
      </c>
    </row>
    <row r="68" spans="1:66" ht="11.25" customHeight="1">
      <c r="A68" s="1004" t="s">
        <v>16</v>
      </c>
      <c r="AZ68" s="1047" t="s">
        <v>1323</v>
      </c>
      <c r="BE68" s="1047">
        <v>2066</v>
      </c>
      <c r="BH68" s="997" t="s">
        <v>1790</v>
      </c>
      <c r="BJ68" s="997" t="s">
        <v>1791</v>
      </c>
      <c r="BL68" s="997" t="s">
        <v>1792</v>
      </c>
      <c r="BN68" s="997" t="s">
        <v>1793</v>
      </c>
    </row>
    <row r="69" spans="1:66" ht="11.25" customHeight="1">
      <c r="A69" s="1004" t="s">
        <v>1794</v>
      </c>
      <c r="AZ69" s="1047" t="s">
        <v>1358</v>
      </c>
      <c r="BE69" s="1047">
        <v>2067</v>
      </c>
      <c r="BH69" s="998" t="s">
        <v>1795</v>
      </c>
      <c r="BI69" s="1045" t="s">
        <v>177</v>
      </c>
      <c r="BJ69" s="998" t="s">
        <v>1796</v>
      </c>
      <c r="BK69" s="1045" t="s">
        <v>177</v>
      </c>
      <c r="BL69" s="998" t="s">
        <v>1797</v>
      </c>
      <c r="BM69" s="1000" t="s">
        <v>177</v>
      </c>
      <c r="BN69" s="998" t="s">
        <v>1798</v>
      </c>
    </row>
    <row r="70" spans="1:66" ht="11.25" customHeight="1">
      <c r="A70" s="1004" t="s">
        <v>1799</v>
      </c>
      <c r="AZ70" s="1047" t="s">
        <v>1390</v>
      </c>
      <c r="BE70" s="1047">
        <v>2068</v>
      </c>
      <c r="BH70" s="998" t="s">
        <v>1800</v>
      </c>
      <c r="BJ70" s="998" t="s">
        <v>1801</v>
      </c>
      <c r="BL70" s="998" t="s">
        <v>1802</v>
      </c>
      <c r="BN70" s="998" t="s">
        <v>1803</v>
      </c>
    </row>
    <row r="71" spans="1:66" ht="11.25" customHeight="1">
      <c r="A71" s="1004" t="s">
        <v>1804</v>
      </c>
      <c r="AZ71" s="1047" t="s">
        <v>1392</v>
      </c>
      <c r="BE71" s="1047">
        <v>2069</v>
      </c>
      <c r="BH71" s="998" t="s">
        <v>1805</v>
      </c>
      <c r="BI71" s="1045" t="s">
        <v>90</v>
      </c>
      <c r="BJ71" s="998" t="s">
        <v>1806</v>
      </c>
      <c r="BK71" s="1045" t="s">
        <v>90</v>
      </c>
      <c r="BL71" s="998" t="s">
        <v>1807</v>
      </c>
      <c r="BM71" s="1000" t="s">
        <v>90</v>
      </c>
      <c r="BN71" s="998" t="s">
        <v>1808</v>
      </c>
    </row>
    <row r="72" spans="1:66" ht="11.25" customHeight="1">
      <c r="A72" s="1004" t="s">
        <v>1809</v>
      </c>
      <c r="AZ72" s="1047" t="s">
        <v>19</v>
      </c>
      <c r="BE72" s="1047">
        <v>2070</v>
      </c>
      <c r="BH72" s="998" t="s">
        <v>1810</v>
      </c>
      <c r="BJ72" s="998" t="s">
        <v>1810</v>
      </c>
      <c r="BL72" s="998" t="s">
        <v>1810</v>
      </c>
      <c r="BN72" s="998" t="s">
        <v>1811</v>
      </c>
    </row>
    <row r="73" spans="1:66" ht="11.25" customHeight="1">
      <c r="A73" s="1004" t="s">
        <v>1812</v>
      </c>
      <c r="BH73" s="998" t="s">
        <v>1813</v>
      </c>
      <c r="BI73" s="1045" t="s">
        <v>127</v>
      </c>
      <c r="BJ73" s="998" t="s">
        <v>1814</v>
      </c>
      <c r="BK73" s="1045" t="s">
        <v>127</v>
      </c>
      <c r="BL73" s="998" t="s">
        <v>1815</v>
      </c>
      <c r="BM73" s="1000" t="s">
        <v>127</v>
      </c>
      <c r="BN73" s="998" t="s">
        <v>1816</v>
      </c>
    </row>
    <row r="74" spans="1:66" ht="11.25" customHeight="1">
      <c r="A74" s="1004" t="s">
        <v>1817</v>
      </c>
      <c r="BH74" s="998" t="s">
        <v>1818</v>
      </c>
      <c r="BJ74" s="998" t="s">
        <v>1819</v>
      </c>
      <c r="BL74" s="998" t="s">
        <v>1820</v>
      </c>
      <c r="BN74" s="998" t="s">
        <v>1821</v>
      </c>
    </row>
    <row r="75" spans="1:66" ht="11.25" customHeight="1">
      <c r="A75" s="1004" t="s">
        <v>1822</v>
      </c>
      <c r="AZ75" s="997" t="s">
        <v>1823</v>
      </c>
      <c r="BH75" s="998" t="s">
        <v>1824</v>
      </c>
      <c r="BJ75" s="998" t="s">
        <v>1824</v>
      </c>
      <c r="BL75" s="998" t="s">
        <v>1824</v>
      </c>
    </row>
    <row r="76" spans="1:66" ht="11.25" customHeight="1">
      <c r="A76" s="1004" t="s">
        <v>1825</v>
      </c>
      <c r="AZ76" s="1047" t="s">
        <v>1304</v>
      </c>
      <c r="BH76" s="998" t="s">
        <v>1826</v>
      </c>
      <c r="BJ76" s="998" t="s">
        <v>1827</v>
      </c>
      <c r="BL76" s="998" t="s">
        <v>1828</v>
      </c>
    </row>
    <row r="77" spans="1:66" ht="11.25" customHeight="1">
      <c r="A77" s="1004" t="s">
        <v>1829</v>
      </c>
      <c r="AZ77" s="1047" t="s">
        <v>1333</v>
      </c>
    </row>
    <row r="78" spans="1:66" ht="11.25" customHeight="1">
      <c r="A78" s="1004" t="s">
        <v>1830</v>
      </c>
      <c r="AZ78" s="1047" t="s">
        <v>1365</v>
      </c>
    </row>
    <row r="79" spans="1:66" ht="11.25" customHeight="1">
      <c r="A79" s="1004" t="s">
        <v>1831</v>
      </c>
      <c r="AZ79" s="1047" t="s">
        <v>1396</v>
      </c>
      <c r="BH79" s="997" t="s">
        <v>1832</v>
      </c>
      <c r="BJ79" s="997" t="s">
        <v>1833</v>
      </c>
      <c r="BL79" s="997" t="s">
        <v>1834</v>
      </c>
    </row>
    <row r="80" spans="1:66" ht="11.25" customHeight="1">
      <c r="A80" s="1004" t="s">
        <v>1835</v>
      </c>
      <c r="AZ80" s="1047" t="s">
        <v>1417</v>
      </c>
      <c r="BH80" s="998" t="s">
        <v>1836</v>
      </c>
      <c r="BJ80" s="998" t="s">
        <v>1837</v>
      </c>
      <c r="BL80" s="998" t="s">
        <v>1838</v>
      </c>
    </row>
    <row r="81" spans="1:66" ht="11.25" customHeight="1">
      <c r="A81" s="1004" t="s">
        <v>1839</v>
      </c>
      <c r="AZ81" s="1047" t="s">
        <v>1434</v>
      </c>
      <c r="BH81" s="998" t="s">
        <v>1840</v>
      </c>
      <c r="BJ81" s="998" t="s">
        <v>1841</v>
      </c>
      <c r="BL81" s="998" t="s">
        <v>1842</v>
      </c>
    </row>
    <row r="82" spans="1:66" ht="11.25" customHeight="1">
      <c r="A82" s="1004" t="s">
        <v>1843</v>
      </c>
      <c r="AZ82" s="1047" t="s">
        <v>1449</v>
      </c>
      <c r="BH82" s="998" t="s">
        <v>1844</v>
      </c>
      <c r="BJ82" s="998" t="s">
        <v>1845</v>
      </c>
      <c r="BL82" s="998" t="s">
        <v>1846</v>
      </c>
    </row>
    <row r="83" spans="1:66" ht="11.25" customHeight="1">
      <c r="A83" s="1004" t="s">
        <v>1847</v>
      </c>
      <c r="BH83" s="998" t="s">
        <v>1848</v>
      </c>
      <c r="BJ83" s="998" t="s">
        <v>1849</v>
      </c>
      <c r="BL83" s="998" t="s">
        <v>1850</v>
      </c>
    </row>
    <row r="84" spans="1:66" ht="11.25" customHeight="1">
      <c r="A84" s="1004" t="s">
        <v>1851</v>
      </c>
      <c r="AZ84" s="997" t="s">
        <v>1852</v>
      </c>
    </row>
    <row r="85" spans="1:66" ht="11.25" customHeight="1">
      <c r="A85" s="1796" t="s">
        <v>1853</v>
      </c>
      <c r="AZ85" s="1047" t="s">
        <v>1854</v>
      </c>
    </row>
    <row r="86" spans="1:66" ht="11.25" customHeight="1">
      <c r="A86" s="1004" t="s">
        <v>1855</v>
      </c>
      <c r="AZ86" s="1047" t="s">
        <v>1856</v>
      </c>
      <c r="BH86" s="997" t="s">
        <v>1857</v>
      </c>
      <c r="BJ86" s="997" t="s">
        <v>1858</v>
      </c>
      <c r="BL86" s="997" t="s">
        <v>1859</v>
      </c>
    </row>
    <row r="87" spans="1:66" ht="11.25" customHeight="1">
      <c r="A87" s="1004" t="s">
        <v>1860</v>
      </c>
      <c r="AZ87" s="1047" t="s">
        <v>1861</v>
      </c>
      <c r="BH87" s="998" t="s">
        <v>1862</v>
      </c>
      <c r="BJ87" s="998" t="s">
        <v>1863</v>
      </c>
      <c r="BL87" s="998" t="s">
        <v>1864</v>
      </c>
    </row>
    <row r="88" spans="1:66" ht="11.25" customHeight="1">
      <c r="A88" s="1004" t="s">
        <v>1865</v>
      </c>
      <c r="AZ88" s="1533"/>
      <c r="BH88" s="998" t="s">
        <v>1866</v>
      </c>
      <c r="BJ88" s="998" t="s">
        <v>1867</v>
      </c>
      <c r="BL88" s="998" t="s">
        <v>1868</v>
      </c>
    </row>
    <row r="89" spans="1:66" ht="11.25" customHeight="1">
      <c r="A89" s="1004" t="s">
        <v>1869</v>
      </c>
      <c r="AZ89" s="997" t="s">
        <v>1870</v>
      </c>
    </row>
    <row r="90" spans="1:66" ht="11.25" customHeight="1">
      <c r="A90" s="1004" t="s">
        <v>1871</v>
      </c>
      <c r="AZ90" s="1047" t="s">
        <v>1097</v>
      </c>
    </row>
    <row r="91" spans="1:66" ht="11.25" customHeight="1">
      <c r="A91" s="1004" t="s">
        <v>1872</v>
      </c>
      <c r="AZ91" s="1047" t="s">
        <v>1133</v>
      </c>
      <c r="BH91" s="997" t="s">
        <v>1873</v>
      </c>
      <c r="BJ91" s="997" t="s">
        <v>1874</v>
      </c>
      <c r="BL91" s="997" t="s">
        <v>1875</v>
      </c>
    </row>
    <row r="92" spans="1:66" ht="11.25" customHeight="1">
      <c r="AZ92" s="1047" t="s">
        <v>1876</v>
      </c>
      <c r="BH92" s="998" t="s">
        <v>1877</v>
      </c>
      <c r="BJ92" s="998" t="s">
        <v>1878</v>
      </c>
      <c r="BL92" s="998" t="s">
        <v>1879</v>
      </c>
    </row>
    <row r="93" spans="1:66" ht="11.25" customHeight="1">
      <c r="AZ93" s="1047" t="s">
        <v>1880</v>
      </c>
      <c r="BH93" s="998" t="s">
        <v>1881</v>
      </c>
      <c r="BJ93" s="998" t="s">
        <v>1882</v>
      </c>
      <c r="BL93" s="998" t="s">
        <v>1883</v>
      </c>
    </row>
    <row r="94" spans="1:66" ht="11.25" customHeight="1">
      <c r="AZ94" s="1047" t="s">
        <v>1884</v>
      </c>
    </row>
    <row r="96" spans="1:66" ht="11.25" customHeight="1">
      <c r="AZ96" s="997" t="s">
        <v>1885</v>
      </c>
      <c r="BH96" s="997" t="s">
        <v>1886</v>
      </c>
      <c r="BJ96" s="997" t="s">
        <v>1887</v>
      </c>
      <c r="BL96" s="997" t="s">
        <v>1888</v>
      </c>
      <c r="BN96" s="997" t="s">
        <v>1889</v>
      </c>
    </row>
    <row r="97" spans="52:66" ht="11.25" customHeight="1">
      <c r="AZ97" s="1827" t="s">
        <v>1890</v>
      </c>
      <c r="BA97" s="1828" t="s">
        <v>1891</v>
      </c>
      <c r="BH97" s="998" t="s">
        <v>1892</v>
      </c>
      <c r="BJ97" s="998" t="s">
        <v>1893</v>
      </c>
      <c r="BL97" s="998" t="s">
        <v>1894</v>
      </c>
      <c r="BN97" s="998" t="s">
        <v>1895</v>
      </c>
    </row>
    <row r="98" spans="52:66" ht="11.25" customHeight="1">
      <c r="AZ98" s="1827" t="s">
        <v>1896</v>
      </c>
      <c r="BA98" s="1828" t="s">
        <v>1897</v>
      </c>
      <c r="BH98" s="998" t="s">
        <v>1898</v>
      </c>
      <c r="BJ98" s="998" t="s">
        <v>1899</v>
      </c>
      <c r="BL98" s="998" t="s">
        <v>1900</v>
      </c>
      <c r="BN98" s="998" t="s">
        <v>1901</v>
      </c>
    </row>
    <row r="99" spans="52:66" ht="22.5" customHeight="1">
      <c r="AZ99" s="1827" t="s">
        <v>1902</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1903</v>
      </c>
      <c r="BJ99" s="998" t="s">
        <v>1904</v>
      </c>
      <c r="BL99" s="998" t="s">
        <v>1905</v>
      </c>
      <c r="BN99" s="998" t="s">
        <v>1906</v>
      </c>
    </row>
    <row r="100" spans="52:66" ht="22.5" customHeight="1">
      <c r="AZ100" s="1827" t="s">
        <v>1907</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1495</v>
      </c>
      <c r="BL100" s="998" t="s">
        <v>1495</v>
      </c>
      <c r="BN100" s="998" t="s">
        <v>1908</v>
      </c>
    </row>
    <row r="101" spans="52:66" ht="22.5" customHeight="1">
      <c r="AZ101" s="1827" t="s">
        <v>1909</v>
      </c>
      <c r="BA101" s="1828" t="s">
        <v>1910</v>
      </c>
      <c r="BN101" s="998" t="s">
        <v>1911</v>
      </c>
    </row>
    <row r="102" spans="52:66" ht="22.5" customHeight="1">
      <c r="AZ102" s="1827" t="s">
        <v>1912</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1913</v>
      </c>
    </row>
    <row r="103" spans="52:66" ht="11.25" customHeight="1">
      <c r="AZ103" s="1827" t="s">
        <v>1914</v>
      </c>
      <c r="BA103" s="1828" t="s">
        <v>1915</v>
      </c>
      <c r="BN103" s="998" t="s">
        <v>1916</v>
      </c>
    </row>
    <row r="104" spans="52:66" ht="11.25" customHeight="1">
      <c r="BN104" s="998" t="s">
        <v>1917</v>
      </c>
    </row>
    <row r="105" spans="52:66" ht="11.25" customHeight="1">
      <c r="AZ105" s="1619" t="s">
        <v>1918</v>
      </c>
    </row>
    <row r="106" spans="52:66" ht="11.25" customHeight="1">
      <c r="AZ106" s="1047" t="s">
        <v>1919</v>
      </c>
    </row>
    <row r="107" spans="52:66" ht="11.25" customHeight="1">
      <c r="AZ107" s="1047" t="s">
        <v>1920</v>
      </c>
      <c r="BH107" s="997" t="s">
        <v>1921</v>
      </c>
      <c r="BJ107" s="997" t="s">
        <v>1922</v>
      </c>
      <c r="BL107" s="997" t="s">
        <v>1923</v>
      </c>
      <c r="BN107" s="997" t="s">
        <v>1924</v>
      </c>
    </row>
    <row r="108" spans="52:66" ht="11.25" customHeight="1">
      <c r="AZ108" s="1047" t="s">
        <v>650</v>
      </c>
      <c r="BH108" s="998" t="s">
        <v>1925</v>
      </c>
      <c r="BJ108" s="998" t="s">
        <v>1926</v>
      </c>
      <c r="BL108" s="998" t="s">
        <v>1581</v>
      </c>
      <c r="BN108" s="998" t="s">
        <v>1927</v>
      </c>
    </row>
    <row r="109" spans="52:66" ht="11.25" customHeight="1">
      <c r="BH109" s="998" t="s">
        <v>1928</v>
      </c>
    </row>
    <row r="110" spans="52:66" ht="11.25" customHeight="1">
      <c r="AZ110" s="1619" t="s">
        <v>1929</v>
      </c>
      <c r="BH110" s="998" t="s">
        <v>1928</v>
      </c>
    </row>
    <row r="111" spans="52:66" ht="11.25" customHeight="1">
      <c r="AZ111" s="1827" t="s">
        <v>1890</v>
      </c>
      <c r="BA111" s="1828" t="s">
        <v>1891</v>
      </c>
    </row>
    <row r="112" spans="52:66" ht="11.25" customHeight="1">
      <c r="AZ112" s="1827" t="s">
        <v>1896</v>
      </c>
      <c r="BA112" s="1828" t="s">
        <v>1897</v>
      </c>
    </row>
    <row r="113" spans="52:60" ht="22.5" customHeight="1">
      <c r="AZ113" s="1827" t="s">
        <v>1902</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1907</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1930</v>
      </c>
    </row>
    <row r="115" spans="52:60" ht="22.5" customHeight="1">
      <c r="AZ115" s="1827" t="s">
        <v>1912</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573</v>
      </c>
    </row>
    <row r="116" spans="52:60" ht="11.25" customHeight="1">
      <c r="AZ116" s="1827" t="s">
        <v>1914</v>
      </c>
      <c r="BA116" s="1828" t="s">
        <v>1915</v>
      </c>
      <c r="BH116" s="998" t="s">
        <v>1319</v>
      </c>
    </row>
    <row r="117" spans="52:60" ht="11.25" customHeight="1">
      <c r="BH117" s="998" t="s">
        <v>1354</v>
      </c>
    </row>
    <row r="118" spans="52:60" ht="11.25" customHeight="1">
      <c r="BH118" s="998" t="s">
        <v>1387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379</v>
      </c>
      <c r="J1" s="392" t="s">
        <v>14</v>
      </c>
    </row>
    <row r="2" spans="1:10" ht="22.5" hidden="1" customHeight="1">
      <c r="A2" s="439"/>
      <c r="B2" s="439"/>
      <c r="C2" s="1657" t="s">
        <v>103</v>
      </c>
      <c r="D2" s="1447"/>
      <c r="E2" s="1453"/>
      <c r="F2" s="1476"/>
      <c r="H2" s="412"/>
      <c r="J2" s="392">
        <v>0</v>
      </c>
    </row>
    <row r="3" spans="1:10" ht="11.25" hidden="1" customHeight="1">
      <c r="J3" s="392">
        <v>0</v>
      </c>
    </row>
    <row r="4" spans="1:10" ht="11.45" customHeight="1">
      <c r="A4" s="1477"/>
      <c r="B4" s="1477"/>
      <c r="J4" s="392">
        <v>11</v>
      </c>
    </row>
    <row r="5" spans="1:10" ht="27.4" customHeight="1">
      <c r="D5" s="24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55"/>
      <c r="F5" s="2456"/>
      <c r="I5" s="652"/>
      <c r="J5" s="392">
        <v>26</v>
      </c>
    </row>
    <row r="6" spans="1:10" ht="18" customHeight="1">
      <c r="D6" s="2555" t="str">
        <f>IF(region_name=0,"Не определено",region_name)</f>
        <v>Ростовская область</v>
      </c>
      <c r="E6" s="2555"/>
      <c r="F6" s="2555"/>
      <c r="I6" s="652"/>
      <c r="J6" s="392">
        <v>17</v>
      </c>
    </row>
    <row r="7" spans="1:10" s="414" customFormat="1" ht="11.45" customHeight="1">
      <c r="A7" s="438"/>
      <c r="B7" s="438"/>
      <c r="D7" s="651"/>
      <c r="E7" s="651"/>
      <c r="F7" s="689"/>
      <c r="G7" s="651"/>
      <c r="J7" s="414">
        <v>11</v>
      </c>
    </row>
    <row r="8" spans="1:10" ht="11.25" hidden="1" customHeight="1">
      <c r="A8" s="439"/>
      <c r="B8" s="439"/>
      <c r="C8" s="394"/>
      <c r="D8" s="400"/>
      <c r="E8" s="2561"/>
      <c r="F8" s="2561"/>
      <c r="J8" s="392">
        <v>0</v>
      </c>
    </row>
    <row r="9" spans="1:10" ht="11.45" customHeight="1">
      <c r="A9" s="439"/>
      <c r="B9" s="439"/>
      <c r="C9" s="394"/>
      <c r="D9" s="2558" t="s">
        <v>380</v>
      </c>
      <c r="E9" s="2559"/>
      <c r="F9" s="2559"/>
      <c r="G9" s="2562" t="s">
        <v>381</v>
      </c>
      <c r="J9" s="392">
        <v>11</v>
      </c>
    </row>
    <row r="10" spans="1:10" ht="11.45" customHeight="1">
      <c r="A10" s="439"/>
      <c r="B10" s="439"/>
      <c r="C10" s="394"/>
      <c r="D10" s="1401" t="s">
        <v>88</v>
      </c>
      <c r="E10" s="1403" t="s">
        <v>382</v>
      </c>
      <c r="F10" s="1403" t="s">
        <v>383</v>
      </c>
      <c r="G10" s="256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1931</v>
      </c>
      <c r="F13" s="1448" t="s">
        <v>386</v>
      </c>
      <c r="G13" s="411"/>
      <c r="H13" s="1460"/>
      <c r="J13" s="392">
        <v>19</v>
      </c>
    </row>
    <row r="14" spans="1:10" ht="19.899999999999999" customHeight="1">
      <c r="A14" s="439"/>
      <c r="B14" s="439"/>
      <c r="C14" s="394"/>
      <c r="D14" s="1450" t="s">
        <v>787</v>
      </c>
      <c r="E14" s="1451" t="s">
        <v>1932</v>
      </c>
      <c r="F14" s="1453"/>
      <c r="G14" s="1452" t="s">
        <v>1933</v>
      </c>
      <c r="H14" s="1460"/>
      <c r="J14" s="392">
        <v>19</v>
      </c>
    </row>
    <row r="15" spans="1:10" ht="19.899999999999999" customHeight="1">
      <c r="A15" s="439"/>
      <c r="B15" s="439"/>
      <c r="C15" s="394"/>
      <c r="D15" s="1450" t="s">
        <v>387</v>
      </c>
      <c r="E15" s="1451" t="s">
        <v>1934</v>
      </c>
      <c r="F15" s="1453"/>
      <c r="G15" s="1452" t="s">
        <v>1935</v>
      </c>
      <c r="H15" s="1460"/>
      <c r="J15" s="392">
        <v>19</v>
      </c>
    </row>
    <row r="16" spans="1:10" ht="24" customHeight="1">
      <c r="A16" s="439"/>
      <c r="B16" s="439"/>
      <c r="C16" s="394"/>
      <c r="D16" s="1450" t="s">
        <v>390</v>
      </c>
      <c r="E16" s="1449" t="s">
        <v>1936</v>
      </c>
      <c r="F16" s="1458"/>
      <c r="G16" s="411" t="s">
        <v>1937</v>
      </c>
      <c r="H16" s="1460"/>
      <c r="J16" s="392">
        <v>23</v>
      </c>
    </row>
    <row r="17" spans="1:10" ht="48.2" customHeight="1">
      <c r="A17" s="439"/>
      <c r="B17" s="439"/>
      <c r="C17" s="394"/>
      <c r="D17" s="1447">
        <v>3</v>
      </c>
      <c r="E17" s="1454" t="s">
        <v>1938</v>
      </c>
      <c r="F17" s="1453"/>
      <c r="G17" s="411" t="s">
        <v>1939</v>
      </c>
      <c r="H17" s="1460"/>
      <c r="J17" s="392">
        <v>46</v>
      </c>
    </row>
    <row r="18" spans="1:10" ht="48.2" customHeight="1">
      <c r="A18" s="1402">
        <v>1</v>
      </c>
      <c r="B18" s="439"/>
      <c r="C18" s="1404"/>
      <c r="D18" s="1447" t="s">
        <v>91</v>
      </c>
      <c r="E18" s="1454" t="s">
        <v>1940</v>
      </c>
      <c r="F18" s="1453"/>
      <c r="G18" s="411" t="s">
        <v>1939</v>
      </c>
      <c r="H18" s="1460"/>
      <c r="I18" s="783"/>
      <c r="J18" s="392">
        <v>46</v>
      </c>
    </row>
    <row r="19" spans="1:10" ht="23.25" customHeight="1">
      <c r="A19" s="439"/>
      <c r="B19" s="439"/>
      <c r="C19" s="394"/>
      <c r="D19" s="1447" t="s">
        <v>127</v>
      </c>
      <c r="E19" s="1454" t="s">
        <v>1941</v>
      </c>
      <c r="F19" s="1448" t="s">
        <v>386</v>
      </c>
      <c r="G19" s="2762" t="s">
        <v>1942</v>
      </c>
      <c r="H19" s="412"/>
      <c r="J19" s="392">
        <v>22</v>
      </c>
    </row>
    <row r="20" spans="1:10" s="1457" customFormat="1" ht="5.25" hidden="1" customHeight="1">
      <c r="A20" s="439"/>
      <c r="B20" s="439"/>
      <c r="C20" s="1456"/>
      <c r="D20" s="1455" t="s">
        <v>1194</v>
      </c>
      <c r="E20" s="944"/>
      <c r="F20" s="943"/>
      <c r="G20" s="2763"/>
      <c r="J20" s="1457">
        <v>0</v>
      </c>
    </row>
    <row r="21" spans="1:10" ht="15.75" customHeight="1">
      <c r="A21" s="439"/>
      <c r="B21" s="439"/>
      <c r="C21" s="394"/>
      <c r="D21" s="404"/>
      <c r="E21" s="352" t="s">
        <v>419</v>
      </c>
      <c r="F21" s="406"/>
      <c r="G21" s="2764"/>
      <c r="H21" s="1460"/>
      <c r="J21" s="392">
        <v>15</v>
      </c>
    </row>
    <row r="22" spans="1:10" s="438" customFormat="1" ht="26.25" customHeight="1">
      <c r="A22" s="439"/>
      <c r="B22" s="439"/>
      <c r="C22" s="439"/>
      <c r="D22" s="1447" t="s">
        <v>92</v>
      </c>
      <c r="E22" s="411" t="s">
        <v>1943</v>
      </c>
      <c r="F22" s="1453"/>
      <c r="G22" s="411" t="s">
        <v>1944</v>
      </c>
      <c r="H22" s="1459"/>
      <c r="J22" s="438">
        <v>25</v>
      </c>
    </row>
    <row r="23" spans="1:10" s="438" customFormat="1" ht="19.899999999999999" customHeight="1">
      <c r="A23" s="439"/>
      <c r="B23" s="439"/>
      <c r="C23" s="439"/>
      <c r="D23" s="1447" t="s">
        <v>93</v>
      </c>
      <c r="E23" s="1454" t="s">
        <v>1945</v>
      </c>
      <c r="F23" s="1458"/>
      <c r="G23" s="411" t="s">
        <v>1946</v>
      </c>
      <c r="H23" s="1459"/>
      <c r="J23" s="438">
        <v>19</v>
      </c>
    </row>
    <row r="24" spans="1:10" s="438" customFormat="1" ht="144" hidden="1" customHeight="1">
      <c r="A24" s="439"/>
      <c r="B24" s="439"/>
      <c r="C24" s="439"/>
      <c r="D24" s="1447" t="s">
        <v>178</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1947</v>
      </c>
      <c r="G1" s="1558" t="s">
        <v>49</v>
      </c>
      <c r="H1" s="1558" t="s">
        <v>51</v>
      </c>
      <c r="IU1" s="1082" t="s">
        <v>14</v>
      </c>
    </row>
    <row r="2" spans="1:255" s="1776" customFormat="1" ht="22.5" hidden="1" customHeight="1">
      <c r="A2" s="762"/>
      <c r="B2" s="1087">
        <v>1</v>
      </c>
      <c r="C2" s="1087"/>
      <c r="D2" s="1851" t="s">
        <v>103</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83</v>
      </c>
      <c r="G3" s="431" t="s">
        <v>84</v>
      </c>
      <c r="H3" s="431"/>
      <c r="I3" s="431"/>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44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47"/>
      <c r="G5" s="2447"/>
      <c r="H5" s="2447"/>
      <c r="I5" s="2447"/>
      <c r="J5" s="2447"/>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442" t="s">
        <v>380</v>
      </c>
      <c r="F7" s="2448"/>
      <c r="G7" s="2448"/>
      <c r="H7" s="2448"/>
      <c r="I7" s="2448"/>
      <c r="J7" s="2765" t="s">
        <v>381</v>
      </c>
      <c r="K7" s="437"/>
      <c r="L7" s="437"/>
      <c r="M7" s="437"/>
      <c r="N7" s="437"/>
      <c r="O7" s="163"/>
      <c r="P7" s="437"/>
      <c r="Q7" s="162"/>
      <c r="R7" s="162"/>
      <c r="S7" s="162"/>
      <c r="T7" s="162"/>
      <c r="IU7" s="444">
        <v>14</v>
      </c>
    </row>
    <row r="8" spans="1:255" s="1746" customFormat="1" ht="21" customHeight="1">
      <c r="A8" s="1082"/>
      <c r="B8" s="1087"/>
      <c r="C8" s="1082"/>
      <c r="D8" s="1422"/>
      <c r="E8" s="1475" t="s">
        <v>88</v>
      </c>
      <c r="F8" s="1467" t="s">
        <v>1947</v>
      </c>
      <c r="G8" s="1467" t="s">
        <v>49</v>
      </c>
      <c r="H8" s="1467" t="s">
        <v>51</v>
      </c>
      <c r="I8" s="1467" t="s">
        <v>1948</v>
      </c>
      <c r="J8" s="2766"/>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5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1949</v>
      </c>
      <c r="G10" s="1469"/>
      <c r="H10" s="1469"/>
      <c r="I10" s="1825"/>
      <c r="J10" s="250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103</v>
      </c>
      <c r="E2" s="1815"/>
      <c r="F2" s="1818"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83</v>
      </c>
      <c r="G3" s="1662" t="s">
        <v>84</v>
      </c>
      <c r="H3" s="431"/>
      <c r="I3" s="431"/>
      <c r="J3" s="431"/>
      <c r="K3" s="431"/>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44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47"/>
      <c r="G5" s="2447"/>
      <c r="H5" s="2447"/>
      <c r="I5" s="2447"/>
      <c r="J5" s="2447"/>
      <c r="K5" s="2447"/>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442" t="s">
        <v>380</v>
      </c>
      <c r="F7" s="2448"/>
      <c r="G7" s="2448"/>
      <c r="H7" s="2448"/>
      <c r="I7" s="2448"/>
      <c r="J7" s="2448"/>
      <c r="K7" s="2448"/>
      <c r="L7" s="2765" t="s">
        <v>381</v>
      </c>
      <c r="M7" s="437"/>
      <c r="N7" s="437"/>
      <c r="O7" s="437"/>
      <c r="P7" s="437"/>
      <c r="Q7" s="163"/>
      <c r="R7" s="437"/>
      <c r="S7" s="162"/>
      <c r="T7" s="162"/>
      <c r="U7" s="162"/>
      <c r="V7" s="162"/>
      <c r="IW7" s="444">
        <v>14</v>
      </c>
    </row>
    <row r="8" spans="1:257" s="1746" customFormat="1" ht="67.150000000000006" customHeight="1">
      <c r="A8" s="1082"/>
      <c r="B8" s="1087"/>
      <c r="C8" s="1082"/>
      <c r="D8" s="1422"/>
      <c r="E8" s="2769" t="s">
        <v>88</v>
      </c>
      <c r="F8" s="276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7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72"/>
      <c r="I8" s="2773"/>
      <c r="J8" s="276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67"/>
      <c r="M8" s="437"/>
      <c r="N8" s="437"/>
      <c r="O8" s="437"/>
      <c r="P8" s="437"/>
      <c r="Q8" s="163"/>
      <c r="R8" s="437"/>
      <c r="S8" s="162"/>
      <c r="T8" s="162"/>
      <c r="U8" s="162"/>
      <c r="V8" s="162"/>
      <c r="IW8" s="444">
        <v>64</v>
      </c>
    </row>
    <row r="9" spans="1:257" s="1746" customFormat="1" ht="29.25" customHeight="1">
      <c r="A9" s="1082"/>
      <c r="B9" s="1087"/>
      <c r="C9" s="1082"/>
      <c r="D9" s="1422"/>
      <c r="E9" s="2770"/>
      <c r="F9" s="2770"/>
      <c r="G9" s="1464" t="s">
        <v>1950</v>
      </c>
      <c r="H9" s="1464" t="s">
        <v>1951</v>
      </c>
      <c r="I9" s="1464" t="s">
        <v>1952</v>
      </c>
      <c r="J9" s="2770"/>
      <c r="K9" s="2770"/>
      <c r="L9" s="2766"/>
      <c r="M9" s="437"/>
      <c r="N9" s="437"/>
      <c r="O9" s="437"/>
      <c r="P9" s="437"/>
      <c r="Q9" s="163"/>
      <c r="R9" s="437"/>
      <c r="S9" s="162"/>
      <c r="T9" s="162"/>
      <c r="U9" s="162"/>
      <c r="V9" s="162"/>
      <c r="IW9" s="444">
        <v>28</v>
      </c>
    </row>
    <row r="10" spans="1:257" s="1776" customFormat="1" ht="23.25" customHeight="1">
      <c r="A10" s="2445"/>
      <c r="B10" s="1087">
        <v>1</v>
      </c>
      <c r="C10" s="1087"/>
      <c r="D10" s="731"/>
      <c r="E10" s="729">
        <v>1</v>
      </c>
      <c r="F10" s="1466"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9" t="s">
        <v>28</v>
      </c>
      <c r="H10" s="1842"/>
      <c r="I10" s="1461"/>
      <c r="J10" s="749"/>
      <c r="K10" s="749"/>
      <c r="L10" s="27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445"/>
      <c r="B11" s="1087"/>
      <c r="C11" s="349"/>
      <c r="D11" s="732"/>
      <c r="E11" s="358"/>
      <c r="F11" s="353" t="s">
        <v>1953</v>
      </c>
      <c r="G11" s="124"/>
      <c r="H11" s="124"/>
      <c r="I11" s="124"/>
      <c r="J11" s="124"/>
      <c r="K11" s="361"/>
      <c r="L11" s="276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103</v>
      </c>
      <c r="E2" s="1830"/>
      <c r="F2" s="1832"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83</v>
      </c>
      <c r="G3" s="1662" t="s">
        <v>84</v>
      </c>
      <c r="H3" s="1819"/>
      <c r="I3" s="1819"/>
      <c r="J3" s="1819"/>
      <c r="K3" s="181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44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47"/>
      <c r="G5" s="2447"/>
      <c r="H5" s="2447"/>
      <c r="I5" s="2447"/>
      <c r="J5" s="2447"/>
      <c r="K5" s="2447"/>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442" t="s">
        <v>380</v>
      </c>
      <c r="F7" s="2448"/>
      <c r="G7" s="2448"/>
      <c r="H7" s="2448"/>
      <c r="I7" s="2448"/>
      <c r="J7" s="2448"/>
      <c r="K7" s="2448"/>
      <c r="L7" s="2765" t="s">
        <v>381</v>
      </c>
      <c r="M7" s="1551"/>
      <c r="N7" s="1551"/>
      <c r="O7" s="1551"/>
      <c r="P7" s="1551"/>
      <c r="Q7" s="1551"/>
      <c r="R7" s="1551"/>
      <c r="S7" s="162"/>
      <c r="T7" s="162"/>
      <c r="U7" s="162"/>
      <c r="V7" s="162"/>
      <c r="IW7" s="1536">
        <v>14</v>
      </c>
    </row>
    <row r="8" spans="1:257" s="1746" customFormat="1" ht="67.150000000000006" customHeight="1">
      <c r="A8" s="1558"/>
      <c r="B8" s="1293"/>
      <c r="C8" s="1558"/>
      <c r="D8" s="1442"/>
      <c r="E8" s="2769" t="s">
        <v>88</v>
      </c>
      <c r="F8" s="2769" t="s">
        <v>1954</v>
      </c>
      <c r="G8" s="2771" t="s">
        <v>1955</v>
      </c>
      <c r="H8" s="2772"/>
      <c r="I8" s="2773"/>
      <c r="J8" s="2769" t="s">
        <v>1956</v>
      </c>
      <c r="K8" s="27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67"/>
      <c r="M8" s="1551"/>
      <c r="N8" s="1551"/>
      <c r="O8" s="1551"/>
      <c r="P8" s="1551"/>
      <c r="Q8" s="1551"/>
      <c r="R8" s="1551"/>
      <c r="S8" s="162"/>
      <c r="T8" s="162"/>
      <c r="U8" s="162"/>
      <c r="V8" s="162"/>
      <c r="IW8" s="1536">
        <v>64</v>
      </c>
    </row>
    <row r="9" spans="1:257" s="1746" customFormat="1" ht="29.25" customHeight="1">
      <c r="A9" s="1558"/>
      <c r="B9" s="1293"/>
      <c r="C9" s="1558"/>
      <c r="D9" s="1442"/>
      <c r="E9" s="2770"/>
      <c r="F9" s="2770"/>
      <c r="G9" s="1820" t="s">
        <v>1950</v>
      </c>
      <c r="H9" s="1820" t="s">
        <v>1951</v>
      </c>
      <c r="I9" s="1820" t="s">
        <v>1952</v>
      </c>
      <c r="J9" s="2770"/>
      <c r="K9" s="2770"/>
      <c r="L9" s="2766"/>
      <c r="M9" s="1551"/>
      <c r="N9" s="1551"/>
      <c r="O9" s="1551"/>
      <c r="P9" s="1551"/>
      <c r="Q9" s="1551"/>
      <c r="R9" s="1551"/>
      <c r="S9" s="162"/>
      <c r="T9" s="162"/>
      <c r="U9" s="162"/>
      <c r="V9" s="162"/>
      <c r="IW9" s="1536">
        <v>28</v>
      </c>
    </row>
    <row r="10" spans="1:257" s="1776" customFormat="1" ht="1.1499999999999999" customHeight="1">
      <c r="A10" s="2445"/>
      <c r="B10" s="1293">
        <v>1</v>
      </c>
      <c r="C10" s="1293"/>
      <c r="D10" s="731"/>
      <c r="E10" s="726">
        <v>0</v>
      </c>
      <c r="F10" s="1817"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60" t="s">
        <v>28</v>
      </c>
      <c r="H10" s="1829"/>
      <c r="I10" s="1829"/>
      <c r="J10" s="456"/>
      <c r="K10" s="456"/>
      <c r="L10" s="27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445"/>
      <c r="B11" s="1293"/>
      <c r="C11" s="349"/>
      <c r="D11" s="732"/>
      <c r="E11" s="358"/>
      <c r="F11" s="588" t="s">
        <v>1953</v>
      </c>
      <c r="G11" s="124"/>
      <c r="H11" s="124"/>
      <c r="I11" s="124"/>
      <c r="J11" s="124"/>
      <c r="K11" s="361"/>
      <c r="L11" s="276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103</v>
      </c>
      <c r="E2" s="2461">
        <v>1</v>
      </c>
      <c r="F2" s="2640" t="str">
        <f>IF(region_name="","",region_name)</f>
        <v>Ростовская область</v>
      </c>
      <c r="G2" s="2782"/>
      <c r="H2" s="2783"/>
      <c r="I2" s="411"/>
      <c r="J2" s="1836">
        <v>1</v>
      </c>
      <c r="K2" s="1838"/>
      <c r="L2" s="1838"/>
      <c r="M2" s="1838"/>
      <c r="N2" s="429"/>
      <c r="O2" s="1462"/>
      <c r="P2" s="448"/>
      <c r="Q2" s="360">
        <v>0</v>
      </c>
    </row>
    <row r="3" spans="1:17" s="1776" customFormat="1" ht="22.5" hidden="1" customHeight="1">
      <c r="A3" s="762"/>
      <c r="B3" s="1087"/>
      <c r="C3" s="1087"/>
      <c r="D3" s="732"/>
      <c r="E3" s="2461"/>
      <c r="F3" s="2640"/>
      <c r="G3" s="2782"/>
      <c r="H3" s="2784"/>
      <c r="I3" s="358"/>
      <c r="J3" s="1427"/>
      <c r="K3" s="1427" t="s">
        <v>1957</v>
      </c>
      <c r="L3" s="1470"/>
      <c r="M3" s="1846"/>
      <c r="N3" s="1839"/>
      <c r="O3" s="1462"/>
      <c r="P3" s="448"/>
      <c r="Q3" s="360">
        <v>0</v>
      </c>
    </row>
    <row r="4" spans="1:17" s="1569" customFormat="1" ht="5.25" hidden="1" customHeight="1">
      <c r="A4" s="433"/>
      <c r="D4" s="431"/>
      <c r="F4" s="184" t="s">
        <v>83</v>
      </c>
      <c r="G4" s="431" t="s">
        <v>84</v>
      </c>
      <c r="H4" s="431"/>
      <c r="I4" s="1849"/>
      <c r="J4" s="1471"/>
      <c r="K4" s="1837"/>
      <c r="L4" s="1837"/>
      <c r="M4" s="1837"/>
      <c r="N4" s="1833"/>
      <c r="O4" s="184" t="s">
        <v>83</v>
      </c>
      <c r="P4" s="184"/>
      <c r="Q4" s="448">
        <v>0</v>
      </c>
    </row>
    <row r="5" spans="1:17" s="1776" customFormat="1" ht="22.5" hidden="1" customHeight="1">
      <c r="A5" s="1568"/>
      <c r="B5" s="1293">
        <v>1</v>
      </c>
      <c r="C5" s="1293"/>
      <c r="D5" s="732"/>
      <c r="E5" s="1839"/>
      <c r="F5" s="1839"/>
      <c r="G5" s="1839"/>
      <c r="H5" s="1850"/>
      <c r="I5" s="1852" t="s">
        <v>103</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77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76"/>
      <c r="G7" s="2776"/>
      <c r="H7" s="2776"/>
      <c r="I7" s="2776"/>
      <c r="J7" s="2776"/>
      <c r="K7" s="2776"/>
      <c r="L7" s="2776"/>
      <c r="M7" s="2776"/>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779"/>
      <c r="J9" s="2779"/>
      <c r="K9" s="2779"/>
      <c r="L9" s="1840"/>
      <c r="M9" s="1841"/>
      <c r="O9" s="1472"/>
      <c r="P9" s="1472"/>
      <c r="Q9" s="1473">
        <v>0</v>
      </c>
    </row>
    <row r="10" spans="1:17" s="1746" customFormat="1" ht="14.65" customHeight="1">
      <c r="A10" s="1082"/>
      <c r="B10" s="1087"/>
      <c r="C10" s="1082"/>
      <c r="D10" s="1422"/>
      <c r="E10" s="2461" t="s">
        <v>380</v>
      </c>
      <c r="F10" s="2461"/>
      <c r="G10" s="2461"/>
      <c r="H10" s="2461"/>
      <c r="I10" s="2461"/>
      <c r="J10" s="2461"/>
      <c r="K10" s="2461"/>
      <c r="L10" s="2461"/>
      <c r="M10" s="2442"/>
      <c r="N10" s="2769" t="s">
        <v>381</v>
      </c>
      <c r="O10" s="437"/>
      <c r="P10" s="437"/>
      <c r="Q10" s="444">
        <v>14</v>
      </c>
    </row>
    <row r="11" spans="1:17" s="1746" customFormat="1" ht="44.25" customHeight="1">
      <c r="A11" s="1558"/>
      <c r="B11" s="1293"/>
      <c r="C11" s="1558"/>
      <c r="D11" s="1442"/>
      <c r="E11" s="2778" t="s">
        <v>88</v>
      </c>
      <c r="F11" s="2778" t="s">
        <v>384</v>
      </c>
      <c r="G11" s="2778" t="s">
        <v>1958</v>
      </c>
      <c r="H11" s="2778"/>
      <c r="I11" s="2778" t="s">
        <v>1959</v>
      </c>
      <c r="J11" s="2778"/>
      <c r="K11" s="2778"/>
      <c r="L11" s="2778" t="s">
        <v>1960</v>
      </c>
      <c r="M11" s="2771" t="s">
        <v>1961</v>
      </c>
      <c r="N11" s="2777"/>
      <c r="O11" s="1551"/>
      <c r="P11" s="1551"/>
      <c r="Q11" s="1536">
        <v>42</v>
      </c>
    </row>
    <row r="12" spans="1:17" s="1746" customFormat="1" ht="29.25" customHeight="1">
      <c r="A12" s="1082"/>
      <c r="B12" s="1087"/>
      <c r="C12" s="1082"/>
      <c r="D12" s="1422"/>
      <c r="E12" s="2769"/>
      <c r="F12" s="2778"/>
      <c r="G12" s="1835" t="s">
        <v>1962</v>
      </c>
      <c r="H12" s="1835" t="s">
        <v>388</v>
      </c>
      <c r="I12" s="2778"/>
      <c r="J12" s="2778"/>
      <c r="K12" s="2778"/>
      <c r="L12" s="2778"/>
      <c r="M12" s="2771"/>
      <c r="N12" s="2770"/>
      <c r="O12" s="437"/>
      <c r="P12" s="437"/>
      <c r="Q12" s="444">
        <v>28</v>
      </c>
    </row>
    <row r="13" spans="1:17" s="1776" customFormat="1" ht="23.25" customHeight="1">
      <c r="A13" s="2445">
        <v>26379339</v>
      </c>
      <c r="B13" s="1087">
        <v>1</v>
      </c>
      <c r="C13" s="1087"/>
      <c r="D13" s="732"/>
      <c r="E13" s="2461">
        <v>1</v>
      </c>
      <c r="F13" s="2785" t="str">
        <f>IF(region_name="","",region_name)</f>
        <v>Ростовская область</v>
      </c>
      <c r="G13" s="2786"/>
      <c r="H13" s="2780"/>
      <c r="I13" s="411"/>
      <c r="J13" s="1831">
        <v>1</v>
      </c>
      <c r="K13" s="1844"/>
      <c r="L13" s="1845"/>
      <c r="M13" s="1845"/>
      <c r="N13" s="2774" t="s">
        <v>1963</v>
      </c>
      <c r="O13" s="1462"/>
      <c r="P13" s="448"/>
      <c r="Q13" s="360">
        <v>22</v>
      </c>
    </row>
    <row r="14" spans="1:17" s="1776" customFormat="1" ht="23.25" customHeight="1">
      <c r="A14" s="2445"/>
      <c r="B14" s="1087"/>
      <c r="C14" s="1087"/>
      <c r="D14" s="732"/>
      <c r="E14" s="2461"/>
      <c r="F14" s="2785"/>
      <c r="G14" s="2786"/>
      <c r="H14" s="2781"/>
      <c r="I14" s="358"/>
      <c r="J14" s="1427"/>
      <c r="K14" s="1427" t="s">
        <v>1957</v>
      </c>
      <c r="L14" s="1470"/>
      <c r="M14" s="1470"/>
      <c r="N14" s="2775"/>
      <c r="O14" s="1462"/>
      <c r="P14" s="448"/>
      <c r="Q14" s="360">
        <v>22</v>
      </c>
    </row>
    <row r="15" spans="1:17" s="1776" customFormat="1" ht="23.25" customHeight="1">
      <c r="A15" s="2445"/>
      <c r="B15" s="1087"/>
      <c r="C15" s="349"/>
      <c r="D15" s="732"/>
      <c r="E15" s="358"/>
      <c r="F15" s="1427" t="s">
        <v>1949</v>
      </c>
      <c r="G15" s="1469"/>
      <c r="H15" s="1469"/>
      <c r="I15" s="124"/>
      <c r="J15" s="124"/>
      <c r="K15" s="124"/>
      <c r="L15" s="124"/>
      <c r="M15" s="124"/>
      <c r="N15" s="2775"/>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447" t="s">
        <v>1964</v>
      </c>
      <c r="E5" s="2447"/>
      <c r="F5" s="2447"/>
      <c r="G5" s="2447"/>
      <c r="H5" s="2447"/>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563" t="s">
        <v>380</v>
      </c>
      <c r="E8" s="2563"/>
      <c r="F8" s="2563"/>
      <c r="G8" s="2563"/>
      <c r="H8" s="2563"/>
      <c r="I8" s="2563" t="s">
        <v>381</v>
      </c>
      <c r="M8" s="60">
        <v>14</v>
      </c>
    </row>
    <row r="9" spans="1:13" ht="29.25" customHeight="1">
      <c r="D9" s="2563" t="s">
        <v>88</v>
      </c>
      <c r="E9" s="2563" t="s">
        <v>1965</v>
      </c>
      <c r="F9" s="2563"/>
      <c r="G9" s="2563"/>
      <c r="H9" s="2563"/>
      <c r="I9" s="2563"/>
      <c r="M9" s="60">
        <v>28</v>
      </c>
    </row>
    <row r="10" spans="1:13" ht="24" customHeight="1">
      <c r="D10" s="2563"/>
      <c r="E10" s="66" t="s">
        <v>1966</v>
      </c>
      <c r="F10" s="66" t="s">
        <v>1967</v>
      </c>
      <c r="G10" s="66" t="s">
        <v>1968</v>
      </c>
      <c r="H10" s="66" t="s">
        <v>470</v>
      </c>
      <c r="I10" s="2563"/>
      <c r="M10" s="60">
        <v>23</v>
      </c>
    </row>
    <row r="11" spans="1:13" ht="12" hidden="1" customHeight="1">
      <c r="D11" s="26" t="s">
        <v>177</v>
      </c>
      <c r="E11" s="26" t="s">
        <v>91</v>
      </c>
      <c r="F11" s="26" t="s">
        <v>127</v>
      </c>
      <c r="G11" s="26" t="s">
        <v>92</v>
      </c>
      <c r="H11" s="26" t="s">
        <v>93</v>
      </c>
      <c r="I11" s="26" t="s">
        <v>178</v>
      </c>
      <c r="M11" s="60">
        <v>0</v>
      </c>
    </row>
    <row r="12" spans="1:13" s="1749" customFormat="1" ht="26.25" customHeight="1">
      <c r="A12" s="82" t="s">
        <v>90</v>
      </c>
      <c r="B12" s="64" t="s">
        <v>28</v>
      </c>
      <c r="C12" s="65"/>
      <c r="D12" s="67" t="s">
        <v>177</v>
      </c>
      <c r="E12" s="318"/>
      <c r="F12" s="318"/>
      <c r="G12" s="1661" t="s">
        <v>28</v>
      </c>
      <c r="H12" s="319"/>
      <c r="I12" s="2505" t="s">
        <v>1969</v>
      </c>
      <c r="K12" s="209"/>
      <c r="L12" s="210"/>
      <c r="M12" s="56">
        <v>25</v>
      </c>
    </row>
    <row r="13" spans="1:13" ht="15.75" customHeight="1">
      <c r="A13" s="60"/>
      <c r="B13" s="60"/>
      <c r="C13" s="60"/>
      <c r="D13" s="48"/>
      <c r="E13" s="69" t="s">
        <v>545</v>
      </c>
      <c r="F13" s="68"/>
      <c r="G13" s="68"/>
      <c r="H13" s="151"/>
      <c r="I13" s="2507"/>
      <c r="M13" s="60">
        <v>15</v>
      </c>
    </row>
    <row r="14" spans="1:13" ht="3" customHeight="1">
      <c r="A14" s="60"/>
      <c r="B14" s="60"/>
      <c r="C14" s="60"/>
      <c r="M14" s="60">
        <v>3</v>
      </c>
    </row>
    <row r="15" spans="1:13" ht="29.25" customHeight="1">
      <c r="E15" s="2787" t="s">
        <v>1970</v>
      </c>
      <c r="F15" s="2787"/>
      <c r="G15" s="2787"/>
      <c r="H15" s="278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88" t="s">
        <v>1971</v>
      </c>
      <c r="E7" s="2789"/>
      <c r="F7" s="204"/>
      <c r="J7" s="8">
        <v>22</v>
      </c>
    </row>
    <row r="8" spans="1:10" ht="3" customHeight="1">
      <c r="C8" s="31"/>
      <c r="D8" s="9"/>
      <c r="E8" s="9"/>
      <c r="J8" s="8">
        <v>3</v>
      </c>
    </row>
    <row r="9" spans="1:10" ht="16.899999999999999" customHeight="1">
      <c r="C9" s="31"/>
      <c r="D9" s="44" t="s">
        <v>88</v>
      </c>
      <c r="E9" s="197" t="s">
        <v>1972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1973</v>
      </c>
      <c r="J13" s="8">
        <v>12</v>
      </c>
    </row>
    <row r="14" spans="1:10" ht="3" customHeight="1">
      <c r="J14" s="8">
        <v>3</v>
      </c>
    </row>
    <row r="15" spans="1:10" ht="23.25" customHeight="1">
      <c r="C15" s="75"/>
      <c r="D15" s="2787" t="s">
        <v>1974</v>
      </c>
      <c r="E15" s="278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47" t="s">
        <v>1975</v>
      </c>
      <c r="E7" s="2447"/>
      <c r="F7" s="204"/>
      <c r="M7" s="8">
        <v>22</v>
      </c>
    </row>
    <row r="8" spans="1:13" ht="3" customHeight="1">
      <c r="C8" s="31"/>
      <c r="D8" s="9"/>
      <c r="E8" s="9"/>
      <c r="M8" s="8">
        <v>3</v>
      </c>
    </row>
    <row r="9" spans="1:13" ht="16.899999999999999" customHeight="1">
      <c r="C9" s="31"/>
      <c r="D9" s="44" t="s">
        <v>88</v>
      </c>
      <c r="E9" s="47" t="s">
        <v>367</v>
      </c>
      <c r="M9" s="8">
        <v>16</v>
      </c>
    </row>
    <row r="10" spans="1:13" ht="12.75" customHeight="1">
      <c r="C10" s="31"/>
      <c r="D10" s="26" t="s">
        <v>177</v>
      </c>
      <c r="E10" s="26" t="s">
        <v>102</v>
      </c>
      <c r="M10" s="8">
        <v>12</v>
      </c>
    </row>
    <row r="11" spans="1:13" ht="15" hidden="1" customHeight="1">
      <c r="C11" s="31"/>
      <c r="D11" s="52">
        <v>0</v>
      </c>
      <c r="E11" s="86"/>
      <c r="M11" s="8">
        <v>0</v>
      </c>
    </row>
    <row r="12" spans="1:13" ht="14.65" customHeight="1">
      <c r="C12" s="31"/>
      <c r="D12" s="48"/>
      <c r="E12" s="46" t="s">
        <v>1973</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359</v>
      </c>
      <c r="M2" s="1480" t="s">
        <v>360</v>
      </c>
      <c r="R2" s="1480" t="s">
        <v>361</v>
      </c>
      <c r="S2" s="1480" t="s">
        <v>360</v>
      </c>
      <c r="X2" s="1480" t="s">
        <v>359</v>
      </c>
      <c r="Y2" s="1480" t="s">
        <v>360</v>
      </c>
      <c r="AD2" s="1480" t="s">
        <v>359</v>
      </c>
      <c r="AE2" s="1480" t="s">
        <v>360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534" t="s">
        <v>362</v>
      </c>
      <c r="E4" s="2534"/>
      <c r="F4" s="2534"/>
      <c r="G4" s="2534"/>
      <c r="H4" s="2534"/>
      <c r="I4" s="2534"/>
      <c r="J4" s="253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555"/>
      <c r="F5" s="2555"/>
      <c r="G5" s="2555"/>
      <c r="H5" s="2555"/>
      <c r="I5" s="2555"/>
      <c r="J5" s="255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461" t="s">
        <v>88</v>
      </c>
      <c r="E8" s="2461" t="s">
        <v>173</v>
      </c>
      <c r="F8" s="2536" t="s">
        <v>188</v>
      </c>
      <c r="G8" s="2537"/>
      <c r="H8" s="2536" t="s">
        <v>88</v>
      </c>
      <c r="I8" s="2537"/>
      <c r="J8" s="2461" t="s">
        <v>189</v>
      </c>
      <c r="K8" s="1483"/>
      <c r="L8" s="2535" t="s">
        <v>363</v>
      </c>
      <c r="M8" s="2535"/>
      <c r="N8" s="2535"/>
      <c r="O8" s="2535"/>
      <c r="P8" s="2535"/>
      <c r="Q8" s="1484"/>
      <c r="R8" s="2442" t="s">
        <v>364</v>
      </c>
      <c r="S8" s="2448"/>
      <c r="T8" s="2448"/>
      <c r="U8" s="2448"/>
      <c r="V8" s="2448"/>
      <c r="W8" s="1484"/>
      <c r="X8" s="2461" t="s">
        <v>365</v>
      </c>
      <c r="Y8" s="2461"/>
      <c r="Z8" s="2461"/>
      <c r="AA8" s="2461"/>
      <c r="AB8" s="2461"/>
      <c r="AC8" s="1485"/>
      <c r="AD8" s="2461" t="s">
        <v>366</v>
      </c>
      <c r="AE8" s="2461"/>
      <c r="AF8" s="2461"/>
      <c r="AG8" s="2461"/>
      <c r="AH8" s="2442"/>
      <c r="AI8" s="2461" t="s">
        <v>367</v>
      </c>
      <c r="AJ8" s="1501"/>
      <c r="BM8" s="230">
        <v>32</v>
      </c>
    </row>
    <row r="9" spans="1:65" ht="23.25" customHeight="1">
      <c r="D9" s="2461"/>
      <c r="E9" s="2461"/>
      <c r="F9" s="2535" t="s">
        <v>89</v>
      </c>
      <c r="G9" s="2535" t="s">
        <v>194</v>
      </c>
      <c r="H9" s="2538"/>
      <c r="I9" s="2539"/>
      <c r="J9" s="2442"/>
      <c r="K9" s="1486"/>
      <c r="L9" s="2461" t="s">
        <v>368</v>
      </c>
      <c r="M9" s="2442"/>
      <c r="N9" s="2536" t="s">
        <v>88</v>
      </c>
      <c r="O9" s="2537"/>
      <c r="P9" s="2461" t="s">
        <v>195</v>
      </c>
      <c r="Q9" s="1483"/>
      <c r="R9" s="2461" t="s">
        <v>368</v>
      </c>
      <c r="S9" s="2442"/>
      <c r="T9" s="2536" t="s">
        <v>88</v>
      </c>
      <c r="U9" s="2537"/>
      <c r="V9" s="2461" t="s">
        <v>195</v>
      </c>
      <c r="W9" s="1483"/>
      <c r="X9" s="2461" t="s">
        <v>368</v>
      </c>
      <c r="Y9" s="2442"/>
      <c r="Z9" s="2536" t="s">
        <v>88</v>
      </c>
      <c r="AA9" s="2537"/>
      <c r="AB9" s="2461" t="s">
        <v>369</v>
      </c>
      <c r="AC9" s="1483"/>
      <c r="AD9" s="2461" t="s">
        <v>368</v>
      </c>
      <c r="AE9" s="2442"/>
      <c r="AF9" s="2536" t="s">
        <v>88</v>
      </c>
      <c r="AG9" s="2537"/>
      <c r="AH9" s="2442" t="s">
        <v>369</v>
      </c>
      <c r="AI9" s="2461"/>
      <c r="AJ9" s="1501"/>
      <c r="BM9" s="230">
        <v>22</v>
      </c>
    </row>
    <row r="10" spans="1:65" ht="24" customHeight="1">
      <c r="D10" s="2535"/>
      <c r="E10" s="2535"/>
      <c r="F10" s="2540"/>
      <c r="G10" s="2540"/>
      <c r="H10" s="2541"/>
      <c r="I10" s="2542"/>
      <c r="J10" s="2536"/>
      <c r="K10" s="1486"/>
      <c r="L10" s="1505" t="s">
        <v>370</v>
      </c>
      <c r="M10" s="1500" t="s">
        <v>371</v>
      </c>
      <c r="N10" s="2538"/>
      <c r="O10" s="2539"/>
      <c r="P10" s="2535"/>
      <c r="Q10" s="1483"/>
      <c r="R10" s="1505" t="s">
        <v>370</v>
      </c>
      <c r="S10" s="1500" t="s">
        <v>371</v>
      </c>
      <c r="T10" s="2538"/>
      <c r="U10" s="2539"/>
      <c r="V10" s="2535"/>
      <c r="W10" s="1483"/>
      <c r="X10" s="1505" t="s">
        <v>370</v>
      </c>
      <c r="Y10" s="1500" t="s">
        <v>371</v>
      </c>
      <c r="Z10" s="2538"/>
      <c r="AA10" s="2539"/>
      <c r="AB10" s="2535"/>
      <c r="AC10" s="1483"/>
      <c r="AD10" s="1505" t="s">
        <v>370</v>
      </c>
      <c r="AE10" s="1500" t="s">
        <v>371</v>
      </c>
      <c r="AF10" s="2538"/>
      <c r="AG10" s="2539"/>
      <c r="AH10" s="2536"/>
      <c r="AI10" s="2535"/>
      <c r="AJ10" s="1501"/>
      <c r="AK10" s="191" t="s">
        <v>372</v>
      </c>
      <c r="AL10" s="191" t="s">
        <v>196</v>
      </c>
      <c r="BM10" s="230">
        <v>23</v>
      </c>
    </row>
    <row r="11" spans="1:65" ht="15" customHeight="1">
      <c r="D11" s="2543" t="s">
        <v>177</v>
      </c>
      <c r="E11" s="2545" t="s">
        <v>373</v>
      </c>
      <c r="F11" s="2545" t="s">
        <v>374</v>
      </c>
      <c r="G11" s="2531" t="s">
        <v>19</v>
      </c>
      <c r="H11" s="1526"/>
      <c r="I11" s="2548"/>
      <c r="J11" s="2489"/>
      <c r="K11" s="1441"/>
      <c r="L11" s="2481"/>
      <c r="M11" s="2481"/>
      <c r="N11" s="1511"/>
      <c r="O11" s="2481"/>
      <c r="P11" s="2489"/>
      <c r="Q11" s="1512"/>
      <c r="R11" s="2481"/>
      <c r="S11" s="2481"/>
      <c r="T11" s="1513"/>
      <c r="U11" s="2481"/>
      <c r="V11" s="2489"/>
      <c r="W11" s="1514"/>
      <c r="X11" s="2481"/>
      <c r="Y11" s="2481"/>
      <c r="Z11" s="1511"/>
      <c r="AA11" s="2481"/>
      <c r="AB11" s="2489"/>
      <c r="AC11" s="1515"/>
      <c r="AD11" s="2481"/>
      <c r="AE11" s="2481"/>
      <c r="AF11" s="1440"/>
      <c r="AG11" s="1440"/>
      <c r="AH11" s="1516"/>
      <c r="AI11" s="1223"/>
      <c r="AJ11" s="1501"/>
      <c r="BM11" s="230">
        <v>14</v>
      </c>
    </row>
    <row r="12" spans="1:65" ht="14.65" customHeight="1">
      <c r="D12" s="2543"/>
      <c r="E12" s="2545"/>
      <c r="F12" s="2545"/>
      <c r="G12" s="2532"/>
      <c r="H12" s="1527"/>
      <c r="I12" s="2549"/>
      <c r="J12" s="2490"/>
      <c r="K12" s="1537"/>
      <c r="L12" s="2482"/>
      <c r="M12" s="2482"/>
      <c r="N12" s="1517"/>
      <c r="O12" s="2482"/>
      <c r="P12" s="2490"/>
      <c r="Q12" s="1518"/>
      <c r="R12" s="2482"/>
      <c r="S12" s="2482"/>
      <c r="T12" s="1519"/>
      <c r="U12" s="2482"/>
      <c r="V12" s="2490"/>
      <c r="W12" s="1520"/>
      <c r="X12" s="2482"/>
      <c r="Y12" s="2482"/>
      <c r="Z12" s="1517"/>
      <c r="AA12" s="2482"/>
      <c r="AB12" s="2490"/>
      <c r="AC12" s="1521"/>
      <c r="AD12" s="2482"/>
      <c r="AE12" s="2482"/>
      <c r="AF12" s="1522"/>
      <c r="AG12" s="1522"/>
      <c r="AH12" s="2552"/>
      <c r="AI12" s="2553"/>
      <c r="AJ12" s="1501"/>
      <c r="BM12" s="230">
        <v>14</v>
      </c>
    </row>
    <row r="13" spans="1:65" ht="14.65" customHeight="1">
      <c r="D13" s="2543"/>
      <c r="E13" s="2545"/>
      <c r="F13" s="2545"/>
      <c r="G13" s="2532"/>
      <c r="H13" s="1527"/>
      <c r="I13" s="2549"/>
      <c r="J13" s="2490"/>
      <c r="K13" s="1537"/>
      <c r="L13" s="2482"/>
      <c r="M13" s="2482"/>
      <c r="N13" s="1517"/>
      <c r="O13" s="2482"/>
      <c r="P13" s="2490"/>
      <c r="Q13" s="1518"/>
      <c r="R13" s="2482"/>
      <c r="S13" s="2482"/>
      <c r="T13" s="1519"/>
      <c r="U13" s="2482"/>
      <c r="V13" s="2490"/>
      <c r="W13" s="1520"/>
      <c r="X13" s="2482"/>
      <c r="Y13" s="2482"/>
      <c r="Z13" s="1439"/>
      <c r="AA13" s="1522"/>
      <c r="AB13" s="2552"/>
      <c r="AC13" s="2552"/>
      <c r="AD13" s="2552"/>
      <c r="AE13" s="2552"/>
      <c r="AF13" s="2552"/>
      <c r="AG13" s="2552"/>
      <c r="AH13" s="2552"/>
      <c r="AI13" s="2553"/>
      <c r="AJ13" s="1501"/>
      <c r="BM13" s="230">
        <v>14</v>
      </c>
    </row>
    <row r="14" spans="1:65" ht="14.65" customHeight="1">
      <c r="D14" s="2543"/>
      <c r="E14" s="2545"/>
      <c r="F14" s="2545"/>
      <c r="G14" s="2532"/>
      <c r="H14" s="1527"/>
      <c r="I14" s="2549"/>
      <c r="J14" s="2490"/>
      <c r="K14" s="1537"/>
      <c r="L14" s="2482"/>
      <c r="M14" s="2482"/>
      <c r="N14" s="1517"/>
      <c r="O14" s="2482"/>
      <c r="P14" s="2490"/>
      <c r="Q14" s="1518"/>
      <c r="R14" s="2482"/>
      <c r="S14" s="2482"/>
      <c r="T14" s="1523"/>
      <c r="U14" s="1524"/>
      <c r="V14" s="2552"/>
      <c r="W14" s="2552"/>
      <c r="X14" s="2552"/>
      <c r="Y14" s="2552"/>
      <c r="Z14" s="2552"/>
      <c r="AA14" s="2552"/>
      <c r="AB14" s="2552"/>
      <c r="AC14" s="2552"/>
      <c r="AD14" s="2552"/>
      <c r="AE14" s="2552"/>
      <c r="AF14" s="2552"/>
      <c r="AG14" s="2552"/>
      <c r="AH14" s="2552"/>
      <c r="AI14" s="2553"/>
      <c r="AJ14" s="1501"/>
      <c r="BM14" s="230">
        <v>14</v>
      </c>
    </row>
    <row r="15" spans="1:65" ht="11.45" customHeight="1">
      <c r="D15" s="2543"/>
      <c r="E15" s="2545"/>
      <c r="F15" s="2545"/>
      <c r="G15" s="2532"/>
      <c r="H15" s="1528"/>
      <c r="I15" s="2549"/>
      <c r="J15" s="2490"/>
      <c r="K15" s="1537"/>
      <c r="L15" s="2482"/>
      <c r="M15" s="2482"/>
      <c r="N15" s="1522"/>
      <c r="O15" s="1522"/>
      <c r="P15" s="2552"/>
      <c r="Q15" s="2552"/>
      <c r="R15" s="2552"/>
      <c r="S15" s="2552"/>
      <c r="T15" s="2552"/>
      <c r="U15" s="2552"/>
      <c r="V15" s="2552"/>
      <c r="W15" s="2552"/>
      <c r="X15" s="2552"/>
      <c r="Y15" s="2552"/>
      <c r="Z15" s="2552"/>
      <c r="AA15" s="2552"/>
      <c r="AB15" s="2552"/>
      <c r="AC15" s="2552"/>
      <c r="AD15" s="2552"/>
      <c r="AE15" s="2552"/>
      <c r="AF15" s="2552"/>
      <c r="AG15" s="2552"/>
      <c r="AH15" s="2552"/>
      <c r="AI15" s="2553"/>
      <c r="AJ15" s="1501"/>
      <c r="BM15" s="230">
        <v>11</v>
      </c>
    </row>
    <row r="16" spans="1:65" s="1481" customFormat="1" ht="11.45" customHeight="1">
      <c r="D16" s="2544"/>
      <c r="E16" s="2546"/>
      <c r="F16" s="2547"/>
      <c r="G16" s="2476"/>
      <c r="H16" s="1525"/>
      <c r="I16" s="1529"/>
      <c r="J16" s="2550"/>
      <c r="K16" s="2550"/>
      <c r="L16" s="2550"/>
      <c r="M16" s="2550"/>
      <c r="N16" s="2550"/>
      <c r="O16" s="2550"/>
      <c r="P16" s="2550"/>
      <c r="Q16" s="2550"/>
      <c r="R16" s="2550"/>
      <c r="S16" s="2550"/>
      <c r="T16" s="2550"/>
      <c r="U16" s="2550"/>
      <c r="V16" s="2550"/>
      <c r="W16" s="2550"/>
      <c r="X16" s="2550"/>
      <c r="Y16" s="2550"/>
      <c r="Z16" s="2550"/>
      <c r="AA16" s="2550"/>
      <c r="AB16" s="2550"/>
      <c r="AC16" s="2550"/>
      <c r="AD16" s="2550"/>
      <c r="AE16" s="2550"/>
      <c r="AF16" s="2550"/>
      <c r="AG16" s="2550"/>
      <c r="AH16" s="2550"/>
      <c r="AI16" s="255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543" t="s">
        <v>102</v>
      </c>
      <c r="E17" s="2545" t="s">
        <v>373</v>
      </c>
      <c r="F17" s="2545" t="s">
        <v>375</v>
      </c>
      <c r="G17" s="2531" t="s">
        <v>19</v>
      </c>
      <c r="H17" s="1526"/>
      <c r="I17" s="2548"/>
      <c r="J17" s="2489"/>
      <c r="K17" s="1441"/>
      <c r="L17" s="2481"/>
      <c r="M17" s="2481"/>
      <c r="N17" s="1511"/>
      <c r="O17" s="2481"/>
      <c r="P17" s="2489"/>
      <c r="Q17" s="1512"/>
      <c r="R17" s="2481"/>
      <c r="S17" s="2481"/>
      <c r="T17" s="1513"/>
      <c r="U17" s="2481"/>
      <c r="V17" s="2489"/>
      <c r="W17" s="1514"/>
      <c r="X17" s="2481"/>
      <c r="Y17" s="2481"/>
      <c r="Z17" s="1511"/>
      <c r="AA17" s="2481"/>
      <c r="AB17" s="2489"/>
      <c r="AC17" s="1515"/>
      <c r="AD17" s="2481"/>
      <c r="AE17" s="2481"/>
      <c r="AF17" s="1440"/>
      <c r="AG17" s="1440"/>
      <c r="AH17" s="1516"/>
      <c r="AI17" s="1223"/>
      <c r="AJ17" s="1501"/>
      <c r="BM17" s="230">
        <v>14</v>
      </c>
    </row>
    <row r="18" spans="4:65" ht="14.65" customHeight="1">
      <c r="D18" s="2543"/>
      <c r="E18" s="2545"/>
      <c r="F18" s="2545"/>
      <c r="G18" s="2532"/>
      <c r="H18" s="1527"/>
      <c r="I18" s="2549"/>
      <c r="J18" s="2490"/>
      <c r="K18" s="1510"/>
      <c r="L18" s="2482"/>
      <c r="M18" s="2482"/>
      <c r="N18" s="1517"/>
      <c r="O18" s="2482"/>
      <c r="P18" s="2490"/>
      <c r="Q18" s="1518"/>
      <c r="R18" s="2482"/>
      <c r="S18" s="2482"/>
      <c r="T18" s="1519"/>
      <c r="U18" s="2482"/>
      <c r="V18" s="2490"/>
      <c r="W18" s="1520"/>
      <c r="X18" s="2482"/>
      <c r="Y18" s="2482"/>
      <c r="Z18" s="1517"/>
      <c r="AA18" s="2482"/>
      <c r="AB18" s="2490"/>
      <c r="AC18" s="1521"/>
      <c r="AD18" s="2482"/>
      <c r="AE18" s="2482"/>
      <c r="AF18" s="1522"/>
      <c r="AG18" s="1522"/>
      <c r="AH18" s="2552"/>
      <c r="AI18" s="2553"/>
      <c r="AJ18" s="1501"/>
      <c r="BM18" s="230">
        <v>14</v>
      </c>
    </row>
    <row r="19" spans="4:65" ht="14.65" customHeight="1">
      <c r="D19" s="2543"/>
      <c r="E19" s="2545"/>
      <c r="F19" s="2545"/>
      <c r="G19" s="2532"/>
      <c r="H19" s="1527"/>
      <c r="I19" s="2549"/>
      <c r="J19" s="2490"/>
      <c r="K19" s="1510"/>
      <c r="L19" s="2482"/>
      <c r="M19" s="2482"/>
      <c r="N19" s="1517"/>
      <c r="O19" s="2482"/>
      <c r="P19" s="2490"/>
      <c r="Q19" s="1518"/>
      <c r="R19" s="2482"/>
      <c r="S19" s="2482"/>
      <c r="T19" s="1519"/>
      <c r="U19" s="2482"/>
      <c r="V19" s="2490"/>
      <c r="W19" s="1520"/>
      <c r="X19" s="2482"/>
      <c r="Y19" s="2482"/>
      <c r="Z19" s="1439"/>
      <c r="AA19" s="1522"/>
      <c r="AB19" s="2552"/>
      <c r="AC19" s="2552"/>
      <c r="AD19" s="2552"/>
      <c r="AE19" s="2552"/>
      <c r="AF19" s="2552"/>
      <c r="AG19" s="2552"/>
      <c r="AH19" s="2552"/>
      <c r="AI19" s="2553"/>
      <c r="AJ19" s="1501"/>
      <c r="BM19" s="230">
        <v>14</v>
      </c>
    </row>
    <row r="20" spans="4:65" ht="14.65" customHeight="1">
      <c r="D20" s="2543"/>
      <c r="E20" s="2545"/>
      <c r="F20" s="2545"/>
      <c r="G20" s="2532"/>
      <c r="H20" s="1527"/>
      <c r="I20" s="2549"/>
      <c r="J20" s="2490"/>
      <c r="K20" s="1510"/>
      <c r="L20" s="2482"/>
      <c r="M20" s="2482"/>
      <c r="N20" s="1517"/>
      <c r="O20" s="2482"/>
      <c r="P20" s="2490"/>
      <c r="Q20" s="1518"/>
      <c r="R20" s="2482"/>
      <c r="S20" s="2482"/>
      <c r="T20" s="1523"/>
      <c r="U20" s="1524"/>
      <c r="V20" s="2552"/>
      <c r="W20" s="2552"/>
      <c r="X20" s="2552"/>
      <c r="Y20" s="2552"/>
      <c r="Z20" s="2552"/>
      <c r="AA20" s="2552"/>
      <c r="AB20" s="2552"/>
      <c r="AC20" s="2552"/>
      <c r="AD20" s="2552"/>
      <c r="AE20" s="2552"/>
      <c r="AF20" s="2552"/>
      <c r="AG20" s="2552"/>
      <c r="AH20" s="2552"/>
      <c r="AI20" s="2553"/>
      <c r="AJ20" s="1501"/>
      <c r="BM20" s="230">
        <v>14</v>
      </c>
    </row>
    <row r="21" spans="4:65" ht="11.45" customHeight="1">
      <c r="D21" s="2543"/>
      <c r="E21" s="2545"/>
      <c r="F21" s="2545"/>
      <c r="G21" s="2532"/>
      <c r="H21" s="1528"/>
      <c r="I21" s="2549"/>
      <c r="J21" s="2490"/>
      <c r="K21" s="1510"/>
      <c r="L21" s="2482"/>
      <c r="M21" s="2482"/>
      <c r="N21" s="1522"/>
      <c r="O21" s="1522"/>
      <c r="P21" s="2552"/>
      <c r="Q21" s="2552"/>
      <c r="R21" s="2552"/>
      <c r="S21" s="2552"/>
      <c r="T21" s="2552"/>
      <c r="U21" s="2552"/>
      <c r="V21" s="2552"/>
      <c r="W21" s="2552"/>
      <c r="X21" s="2552"/>
      <c r="Y21" s="2552"/>
      <c r="Z21" s="2552"/>
      <c r="AA21" s="2552"/>
      <c r="AB21" s="2552"/>
      <c r="AC21" s="2552"/>
      <c r="AD21" s="2552"/>
      <c r="AE21" s="2552"/>
      <c r="AF21" s="2552"/>
      <c r="AG21" s="2552"/>
      <c r="AH21" s="2552"/>
      <c r="AI21" s="2553"/>
      <c r="AJ21" s="1501"/>
      <c r="BM21" s="230">
        <v>11</v>
      </c>
    </row>
    <row r="22" spans="4:65" s="1481" customFormat="1" ht="11.45" customHeight="1">
      <c r="D22" s="2544"/>
      <c r="E22" s="2546"/>
      <c r="F22" s="2547"/>
      <c r="G22" s="2476"/>
      <c r="H22" s="1525"/>
      <c r="I22" s="1529"/>
      <c r="J22" s="2550"/>
      <c r="K22" s="2550"/>
      <c r="L22" s="2550"/>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543" t="s">
        <v>90</v>
      </c>
      <c r="E23" s="2545" t="s">
        <v>373</v>
      </c>
      <c r="F23" s="2545" t="s">
        <v>376</v>
      </c>
      <c r="G23" s="2531" t="s">
        <v>19</v>
      </c>
      <c r="H23" s="1526"/>
      <c r="I23" s="2548"/>
      <c r="J23" s="2489"/>
      <c r="K23" s="1441"/>
      <c r="L23" s="2481"/>
      <c r="M23" s="2481"/>
      <c r="N23" s="1511"/>
      <c r="O23" s="2481"/>
      <c r="P23" s="2489"/>
      <c r="Q23" s="1512"/>
      <c r="R23" s="2481"/>
      <c r="S23" s="2481"/>
      <c r="T23" s="1513"/>
      <c r="U23" s="2481"/>
      <c r="V23" s="2489"/>
      <c r="W23" s="1514"/>
      <c r="X23" s="2481"/>
      <c r="Y23" s="2481"/>
      <c r="Z23" s="1511"/>
      <c r="AA23" s="2481"/>
      <c r="AB23" s="2489"/>
      <c r="AC23" s="1515"/>
      <c r="AD23" s="2481"/>
      <c r="AE23" s="2481"/>
      <c r="AF23" s="1440"/>
      <c r="AG23" s="1440"/>
      <c r="AH23" s="1516"/>
      <c r="AI23" s="1223"/>
      <c r="AJ23" s="1501"/>
      <c r="AK23" s="243" t="s">
        <v>98</v>
      </c>
      <c r="BM23" s="230">
        <v>14</v>
      </c>
    </row>
    <row r="24" spans="4:65" ht="14.65" customHeight="1">
      <c r="D24" s="2543"/>
      <c r="E24" s="2545"/>
      <c r="F24" s="2545"/>
      <c r="G24" s="2532"/>
      <c r="H24" s="1527"/>
      <c r="I24" s="2549"/>
      <c r="J24" s="2490"/>
      <c r="K24" s="1537"/>
      <c r="L24" s="2482"/>
      <c r="M24" s="2482"/>
      <c r="N24" s="1517"/>
      <c r="O24" s="2482"/>
      <c r="P24" s="2490"/>
      <c r="Q24" s="1518"/>
      <c r="R24" s="2482"/>
      <c r="S24" s="2482"/>
      <c r="T24" s="1519"/>
      <c r="U24" s="2482"/>
      <c r="V24" s="2490"/>
      <c r="W24" s="1520"/>
      <c r="X24" s="2482"/>
      <c r="Y24" s="2482"/>
      <c r="Z24" s="1517"/>
      <c r="AA24" s="2482"/>
      <c r="AB24" s="2490"/>
      <c r="AC24" s="1521"/>
      <c r="AD24" s="2482"/>
      <c r="AE24" s="2482"/>
      <c r="AF24" s="1522"/>
      <c r="AG24" s="1522"/>
      <c r="AH24" s="2552"/>
      <c r="AI24" s="2553"/>
      <c r="AJ24" s="1501"/>
      <c r="BM24" s="230">
        <v>14</v>
      </c>
    </row>
    <row r="25" spans="4:65" ht="14.65" customHeight="1">
      <c r="D25" s="2543"/>
      <c r="E25" s="2545"/>
      <c r="F25" s="2545"/>
      <c r="G25" s="2532"/>
      <c r="H25" s="1527"/>
      <c r="I25" s="2549"/>
      <c r="J25" s="2490"/>
      <c r="K25" s="1537"/>
      <c r="L25" s="2482"/>
      <c r="M25" s="2482"/>
      <c r="N25" s="1517"/>
      <c r="O25" s="2482"/>
      <c r="P25" s="2490"/>
      <c r="Q25" s="1518"/>
      <c r="R25" s="2482"/>
      <c r="S25" s="2482"/>
      <c r="T25" s="1519"/>
      <c r="U25" s="2482"/>
      <c r="V25" s="2490"/>
      <c r="W25" s="1520"/>
      <c r="X25" s="2482"/>
      <c r="Y25" s="2482"/>
      <c r="Z25" s="1439"/>
      <c r="AA25" s="1522"/>
      <c r="AB25" s="2552"/>
      <c r="AC25" s="2552"/>
      <c r="AD25" s="2552"/>
      <c r="AE25" s="2552"/>
      <c r="AF25" s="2552"/>
      <c r="AG25" s="2552"/>
      <c r="AH25" s="2552"/>
      <c r="AI25" s="2553"/>
      <c r="AJ25" s="1501"/>
      <c r="BM25" s="230">
        <v>14</v>
      </c>
    </row>
    <row r="26" spans="4:65" ht="14.65" customHeight="1">
      <c r="D26" s="2543"/>
      <c r="E26" s="2545"/>
      <c r="F26" s="2545"/>
      <c r="G26" s="2532"/>
      <c r="H26" s="1527"/>
      <c r="I26" s="2549"/>
      <c r="J26" s="2490"/>
      <c r="K26" s="1537"/>
      <c r="L26" s="2482"/>
      <c r="M26" s="2482"/>
      <c r="N26" s="1517"/>
      <c r="O26" s="2482"/>
      <c r="P26" s="2490"/>
      <c r="Q26" s="1518"/>
      <c r="R26" s="2482"/>
      <c r="S26" s="2482"/>
      <c r="T26" s="1523"/>
      <c r="U26" s="1524"/>
      <c r="V26" s="2552"/>
      <c r="W26" s="2552"/>
      <c r="X26" s="2552"/>
      <c r="Y26" s="2552"/>
      <c r="Z26" s="2552"/>
      <c r="AA26" s="2552"/>
      <c r="AB26" s="2552"/>
      <c r="AC26" s="2552"/>
      <c r="AD26" s="2552"/>
      <c r="AE26" s="2552"/>
      <c r="AF26" s="2552"/>
      <c r="AG26" s="2552"/>
      <c r="AH26" s="2552"/>
      <c r="AI26" s="2553"/>
      <c r="AJ26" s="1501"/>
      <c r="BM26" s="230">
        <v>14</v>
      </c>
    </row>
    <row r="27" spans="4:65" ht="11.45" customHeight="1">
      <c r="D27" s="2543"/>
      <c r="E27" s="2545"/>
      <c r="F27" s="2545"/>
      <c r="G27" s="2532"/>
      <c r="H27" s="1528"/>
      <c r="I27" s="2549"/>
      <c r="J27" s="2490"/>
      <c r="K27" s="1537"/>
      <c r="L27" s="2482"/>
      <c r="M27" s="2482"/>
      <c r="N27" s="1522"/>
      <c r="O27" s="1522"/>
      <c r="P27" s="2552"/>
      <c r="Q27" s="2552"/>
      <c r="R27" s="2552"/>
      <c r="S27" s="2552"/>
      <c r="T27" s="2552"/>
      <c r="U27" s="2552"/>
      <c r="V27" s="2552"/>
      <c r="W27" s="2552"/>
      <c r="X27" s="2552"/>
      <c r="Y27" s="2552"/>
      <c r="Z27" s="2552"/>
      <c r="AA27" s="2552"/>
      <c r="AB27" s="2552"/>
      <c r="AC27" s="2552"/>
      <c r="AD27" s="2552"/>
      <c r="AE27" s="2552"/>
      <c r="AF27" s="2552"/>
      <c r="AG27" s="2552"/>
      <c r="AH27" s="2552"/>
      <c r="AI27" s="2553"/>
      <c r="AJ27" s="1501"/>
      <c r="BM27" s="230">
        <v>11</v>
      </c>
    </row>
    <row r="28" spans="4:65" s="1481" customFormat="1" ht="11.45" customHeight="1">
      <c r="D28" s="2544"/>
      <c r="E28" s="2546"/>
      <c r="F28" s="2547"/>
      <c r="G28" s="2476"/>
      <c r="H28" s="1525"/>
      <c r="I28" s="1529"/>
      <c r="J28" s="2550"/>
      <c r="K28" s="2550"/>
      <c r="L28" s="2550"/>
      <c r="M28" s="2550"/>
      <c r="N28" s="2550"/>
      <c r="O28" s="2550"/>
      <c r="P28" s="2550"/>
      <c r="Q28" s="2550"/>
      <c r="R28" s="2550"/>
      <c r="S28" s="2550"/>
      <c r="T28" s="2550"/>
      <c r="U28" s="2550"/>
      <c r="V28" s="2550"/>
      <c r="W28" s="2550"/>
      <c r="X28" s="2550"/>
      <c r="Y28" s="2550"/>
      <c r="Z28" s="2550"/>
      <c r="AA28" s="2550"/>
      <c r="AB28" s="2550"/>
      <c r="AC28" s="2550"/>
      <c r="AD28" s="2550"/>
      <c r="AE28" s="2550"/>
      <c r="AF28" s="2550"/>
      <c r="AG28" s="2550"/>
      <c r="AH28" s="2550"/>
      <c r="AI28" s="255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543" t="s">
        <v>91</v>
      </c>
      <c r="E29" s="2545" t="s">
        <v>373</v>
      </c>
      <c r="F29" s="2545" t="s">
        <v>377</v>
      </c>
      <c r="G29" s="2531" t="s">
        <v>19</v>
      </c>
      <c r="H29" s="1526"/>
      <c r="I29" s="2548"/>
      <c r="J29" s="2489"/>
      <c r="K29" s="1441"/>
      <c r="L29" s="2481"/>
      <c r="M29" s="2481"/>
      <c r="N29" s="1511"/>
      <c r="O29" s="2481"/>
      <c r="P29" s="2489"/>
      <c r="Q29" s="1512"/>
      <c r="R29" s="2481"/>
      <c r="S29" s="2481"/>
      <c r="T29" s="1513"/>
      <c r="U29" s="2481"/>
      <c r="V29" s="2489"/>
      <c r="W29" s="1514"/>
      <c r="X29" s="2481"/>
      <c r="Y29" s="2481"/>
      <c r="Z29" s="1511"/>
      <c r="AA29" s="2481"/>
      <c r="AB29" s="2489"/>
      <c r="AC29" s="1515"/>
      <c r="AD29" s="2481"/>
      <c r="AE29" s="2481"/>
      <c r="AF29" s="1440"/>
      <c r="AG29" s="1440"/>
      <c r="AH29" s="1516"/>
      <c r="AI29" s="1223"/>
      <c r="AJ29" s="1501"/>
      <c r="BM29" s="230">
        <v>14</v>
      </c>
    </row>
    <row r="30" spans="4:65" ht="14.65" customHeight="1">
      <c r="D30" s="2543"/>
      <c r="E30" s="2545"/>
      <c r="F30" s="2545"/>
      <c r="G30" s="2532"/>
      <c r="H30" s="1527"/>
      <c r="I30" s="2549"/>
      <c r="J30" s="2490"/>
      <c r="K30" s="1510"/>
      <c r="L30" s="2482"/>
      <c r="M30" s="2482"/>
      <c r="N30" s="1517"/>
      <c r="O30" s="2482"/>
      <c r="P30" s="2490"/>
      <c r="Q30" s="1518"/>
      <c r="R30" s="2482"/>
      <c r="S30" s="2482"/>
      <c r="T30" s="1519"/>
      <c r="U30" s="2482"/>
      <c r="V30" s="2490"/>
      <c r="W30" s="1520"/>
      <c r="X30" s="2482"/>
      <c r="Y30" s="2482"/>
      <c r="Z30" s="1517"/>
      <c r="AA30" s="2482"/>
      <c r="AB30" s="2490"/>
      <c r="AC30" s="1521"/>
      <c r="AD30" s="2482"/>
      <c r="AE30" s="2482"/>
      <c r="AF30" s="1522"/>
      <c r="AG30" s="1522"/>
      <c r="AH30" s="2552"/>
      <c r="AI30" s="2553"/>
      <c r="AJ30" s="1501"/>
      <c r="BM30" s="230">
        <v>14</v>
      </c>
    </row>
    <row r="31" spans="4:65" ht="14.65" customHeight="1">
      <c r="D31" s="2543"/>
      <c r="E31" s="2545"/>
      <c r="F31" s="2545"/>
      <c r="G31" s="2532"/>
      <c r="H31" s="1527"/>
      <c r="I31" s="2549"/>
      <c r="J31" s="2490"/>
      <c r="K31" s="1510"/>
      <c r="L31" s="2482"/>
      <c r="M31" s="2482"/>
      <c r="N31" s="1517"/>
      <c r="O31" s="2482"/>
      <c r="P31" s="2490"/>
      <c r="Q31" s="1518"/>
      <c r="R31" s="2482"/>
      <c r="S31" s="2482"/>
      <c r="T31" s="1519"/>
      <c r="U31" s="2482"/>
      <c r="V31" s="2490"/>
      <c r="W31" s="1520"/>
      <c r="X31" s="2482"/>
      <c r="Y31" s="2482"/>
      <c r="Z31" s="1439"/>
      <c r="AA31" s="1522"/>
      <c r="AB31" s="2552"/>
      <c r="AC31" s="2552"/>
      <c r="AD31" s="2552"/>
      <c r="AE31" s="2552"/>
      <c r="AF31" s="2552"/>
      <c r="AG31" s="2552"/>
      <c r="AH31" s="2552"/>
      <c r="AI31" s="2553"/>
      <c r="AJ31" s="1501"/>
      <c r="BM31" s="230">
        <v>14</v>
      </c>
    </row>
    <row r="32" spans="4:65" ht="14.65" customHeight="1">
      <c r="D32" s="2543"/>
      <c r="E32" s="2545"/>
      <c r="F32" s="2545"/>
      <c r="G32" s="2532"/>
      <c r="H32" s="1527"/>
      <c r="I32" s="2549"/>
      <c r="J32" s="2490"/>
      <c r="K32" s="1510"/>
      <c r="L32" s="2482"/>
      <c r="M32" s="2482"/>
      <c r="N32" s="1517"/>
      <c r="O32" s="2482"/>
      <c r="P32" s="2490"/>
      <c r="Q32" s="1518"/>
      <c r="R32" s="2482"/>
      <c r="S32" s="2482"/>
      <c r="T32" s="1523"/>
      <c r="U32" s="1524"/>
      <c r="V32" s="2552"/>
      <c r="W32" s="2552"/>
      <c r="X32" s="2552"/>
      <c r="Y32" s="2552"/>
      <c r="Z32" s="2552"/>
      <c r="AA32" s="2552"/>
      <c r="AB32" s="2552"/>
      <c r="AC32" s="2552"/>
      <c r="AD32" s="2552"/>
      <c r="AE32" s="2552"/>
      <c r="AF32" s="2552"/>
      <c r="AG32" s="2552"/>
      <c r="AH32" s="2552"/>
      <c r="AI32" s="2553"/>
      <c r="AJ32" s="1501"/>
      <c r="BM32" s="230">
        <v>14</v>
      </c>
    </row>
    <row r="33" spans="4:65" ht="11.45" customHeight="1">
      <c r="D33" s="2543"/>
      <c r="E33" s="2545"/>
      <c r="F33" s="2545"/>
      <c r="G33" s="2532"/>
      <c r="H33" s="1528"/>
      <c r="I33" s="2549"/>
      <c r="J33" s="2490"/>
      <c r="K33" s="1510"/>
      <c r="L33" s="2482"/>
      <c r="M33" s="2482"/>
      <c r="N33" s="1522"/>
      <c r="O33" s="1522"/>
      <c r="P33" s="2552"/>
      <c r="Q33" s="2552"/>
      <c r="R33" s="2552"/>
      <c r="S33" s="2552"/>
      <c r="T33" s="2552"/>
      <c r="U33" s="2552"/>
      <c r="V33" s="2552"/>
      <c r="W33" s="2552"/>
      <c r="X33" s="2552"/>
      <c r="Y33" s="2552"/>
      <c r="Z33" s="2552"/>
      <c r="AA33" s="2552"/>
      <c r="AB33" s="2552"/>
      <c r="AC33" s="2552"/>
      <c r="AD33" s="2552"/>
      <c r="AE33" s="2552"/>
      <c r="AF33" s="2552"/>
      <c r="AG33" s="2552"/>
      <c r="AH33" s="2552"/>
      <c r="AI33" s="2553"/>
      <c r="AJ33" s="1501"/>
      <c r="BM33" s="230">
        <v>11</v>
      </c>
    </row>
    <row r="34" spans="4:65" s="1481" customFormat="1" ht="11.45" customHeight="1">
      <c r="D34" s="2544"/>
      <c r="E34" s="2546"/>
      <c r="F34" s="2547"/>
      <c r="G34" s="2476"/>
      <c r="H34" s="1525"/>
      <c r="I34" s="1529"/>
      <c r="J34" s="2550"/>
      <c r="K34" s="2550"/>
      <c r="L34" s="2550"/>
      <c r="M34" s="2550"/>
      <c r="N34" s="2550"/>
      <c r="O34" s="2550"/>
      <c r="P34" s="2550"/>
      <c r="Q34" s="2550"/>
      <c r="R34" s="2550"/>
      <c r="S34" s="2550"/>
      <c r="T34" s="2550"/>
      <c r="U34" s="2550"/>
      <c r="V34" s="2550"/>
      <c r="W34" s="2550"/>
      <c r="X34" s="2550"/>
      <c r="Y34" s="2550"/>
      <c r="Z34" s="2550"/>
      <c r="AA34" s="2550"/>
      <c r="AB34" s="2550"/>
      <c r="AC34" s="2550"/>
      <c r="AD34" s="2550"/>
      <c r="AE34" s="2550"/>
      <c r="AF34" s="2550"/>
      <c r="AG34" s="2550"/>
      <c r="AH34" s="2550"/>
      <c r="AI34" s="255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543" t="s">
        <v>127</v>
      </c>
      <c r="E35" s="2545" t="s">
        <v>373</v>
      </c>
      <c r="F35" s="2545" t="s">
        <v>378</v>
      </c>
      <c r="G35" s="2531" t="s">
        <v>19</v>
      </c>
      <c r="H35" s="1526"/>
      <c r="I35" s="2548"/>
      <c r="J35" s="2489"/>
      <c r="K35" s="1441"/>
      <c r="L35" s="2481"/>
      <c r="M35" s="2481"/>
      <c r="N35" s="1511"/>
      <c r="O35" s="2481"/>
      <c r="P35" s="2489"/>
      <c r="Q35" s="1512"/>
      <c r="R35" s="2481"/>
      <c r="S35" s="2481"/>
      <c r="T35" s="1513"/>
      <c r="U35" s="2481"/>
      <c r="V35" s="2489"/>
      <c r="W35" s="1514"/>
      <c r="X35" s="2481"/>
      <c r="Y35" s="2481"/>
      <c r="Z35" s="1511"/>
      <c r="AA35" s="2481"/>
      <c r="AB35" s="2489"/>
      <c r="AC35" s="1515"/>
      <c r="AD35" s="2481"/>
      <c r="AE35" s="2481"/>
      <c r="AF35" s="1440"/>
      <c r="AG35" s="1440"/>
      <c r="AH35" s="1516"/>
      <c r="AI35" s="1223"/>
      <c r="AJ35" s="1501"/>
      <c r="BM35" s="230">
        <v>14</v>
      </c>
    </row>
    <row r="36" spans="4:65" ht="14.65" customHeight="1">
      <c r="D36" s="2543"/>
      <c r="E36" s="2545"/>
      <c r="F36" s="2545"/>
      <c r="G36" s="2532"/>
      <c r="H36" s="1527"/>
      <c r="I36" s="2549"/>
      <c r="J36" s="2490"/>
      <c r="K36" s="1510"/>
      <c r="L36" s="2482"/>
      <c r="M36" s="2482"/>
      <c r="N36" s="1517"/>
      <c r="O36" s="2482"/>
      <c r="P36" s="2490"/>
      <c r="Q36" s="1518"/>
      <c r="R36" s="2482"/>
      <c r="S36" s="2482"/>
      <c r="T36" s="1519"/>
      <c r="U36" s="2482"/>
      <c r="V36" s="2490"/>
      <c r="W36" s="1520"/>
      <c r="X36" s="2482"/>
      <c r="Y36" s="2482"/>
      <c r="Z36" s="1517"/>
      <c r="AA36" s="2482"/>
      <c r="AB36" s="2490"/>
      <c r="AC36" s="1521"/>
      <c r="AD36" s="2482"/>
      <c r="AE36" s="2482"/>
      <c r="AF36" s="1522"/>
      <c r="AG36" s="1522"/>
      <c r="AH36" s="2552"/>
      <c r="AI36" s="2553"/>
      <c r="AJ36" s="1501"/>
      <c r="BM36" s="230">
        <v>14</v>
      </c>
    </row>
    <row r="37" spans="4:65" ht="14.65" customHeight="1">
      <c r="D37" s="2543"/>
      <c r="E37" s="2545"/>
      <c r="F37" s="2545"/>
      <c r="G37" s="2532"/>
      <c r="H37" s="1527"/>
      <c r="I37" s="2549"/>
      <c r="J37" s="2490"/>
      <c r="K37" s="1510"/>
      <c r="L37" s="2482"/>
      <c r="M37" s="2482"/>
      <c r="N37" s="1517"/>
      <c r="O37" s="2482"/>
      <c r="P37" s="2490"/>
      <c r="Q37" s="1518"/>
      <c r="R37" s="2482"/>
      <c r="S37" s="2482"/>
      <c r="T37" s="1519"/>
      <c r="U37" s="2482"/>
      <c r="V37" s="2490"/>
      <c r="W37" s="1520"/>
      <c r="X37" s="2482"/>
      <c r="Y37" s="2482"/>
      <c r="Z37" s="1439"/>
      <c r="AA37" s="1522"/>
      <c r="AB37" s="2552"/>
      <c r="AC37" s="2552"/>
      <c r="AD37" s="2552"/>
      <c r="AE37" s="2552"/>
      <c r="AF37" s="2552"/>
      <c r="AG37" s="2552"/>
      <c r="AH37" s="2552"/>
      <c r="AI37" s="2553"/>
      <c r="AJ37" s="1501"/>
      <c r="BM37" s="230">
        <v>14</v>
      </c>
    </row>
    <row r="38" spans="4:65" ht="14.65" customHeight="1">
      <c r="D38" s="2543"/>
      <c r="E38" s="2545"/>
      <c r="F38" s="2545"/>
      <c r="G38" s="2532"/>
      <c r="H38" s="1527"/>
      <c r="I38" s="2549"/>
      <c r="J38" s="2490"/>
      <c r="K38" s="1510"/>
      <c r="L38" s="2482"/>
      <c r="M38" s="2482"/>
      <c r="N38" s="1517"/>
      <c r="O38" s="2482"/>
      <c r="P38" s="2490"/>
      <c r="Q38" s="1518"/>
      <c r="R38" s="2482"/>
      <c r="S38" s="2482"/>
      <c r="T38" s="1523"/>
      <c r="U38" s="1524"/>
      <c r="V38" s="2552"/>
      <c r="W38" s="2552"/>
      <c r="X38" s="2552"/>
      <c r="Y38" s="2552"/>
      <c r="Z38" s="2552"/>
      <c r="AA38" s="2552"/>
      <c r="AB38" s="2552"/>
      <c r="AC38" s="2552"/>
      <c r="AD38" s="2552"/>
      <c r="AE38" s="2552"/>
      <c r="AF38" s="2552"/>
      <c r="AG38" s="2552"/>
      <c r="AH38" s="2552"/>
      <c r="AI38" s="2553"/>
      <c r="AJ38" s="1501"/>
      <c r="BM38" s="230">
        <v>14</v>
      </c>
    </row>
    <row r="39" spans="4:65" ht="11.45" customHeight="1">
      <c r="D39" s="2543"/>
      <c r="E39" s="2545"/>
      <c r="F39" s="2545"/>
      <c r="G39" s="2532"/>
      <c r="H39" s="1528"/>
      <c r="I39" s="2549"/>
      <c r="J39" s="2490"/>
      <c r="K39" s="1510"/>
      <c r="L39" s="2482"/>
      <c r="M39" s="2482"/>
      <c r="N39" s="1522"/>
      <c r="O39" s="1522"/>
      <c r="P39" s="2552"/>
      <c r="Q39" s="2552"/>
      <c r="R39" s="2552"/>
      <c r="S39" s="2552"/>
      <c r="T39" s="2552"/>
      <c r="U39" s="2552"/>
      <c r="V39" s="2552"/>
      <c r="W39" s="2552"/>
      <c r="X39" s="2552"/>
      <c r="Y39" s="2552"/>
      <c r="Z39" s="2552"/>
      <c r="AA39" s="2552"/>
      <c r="AB39" s="2552"/>
      <c r="AC39" s="2552"/>
      <c r="AD39" s="2552"/>
      <c r="AE39" s="2552"/>
      <c r="AF39" s="2552"/>
      <c r="AG39" s="2552"/>
      <c r="AH39" s="2552"/>
      <c r="AI39" s="2553"/>
      <c r="AJ39" s="1501"/>
      <c r="BM39" s="230">
        <v>11</v>
      </c>
    </row>
    <row r="40" spans="4:65" s="1481" customFormat="1" ht="11.45" customHeight="1">
      <c r="D40" s="2543"/>
      <c r="E40" s="2545"/>
      <c r="F40" s="2554"/>
      <c r="G40" s="2476"/>
      <c r="H40" s="1525"/>
      <c r="I40" s="1529"/>
      <c r="J40" s="2550"/>
      <c r="K40" s="2550"/>
      <c r="L40" s="2550"/>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790" t="s">
        <v>1976</v>
      </c>
      <c r="C2" s="2790"/>
      <c r="D2" s="2790"/>
      <c r="E2" s="205"/>
      <c r="F2" s="28">
        <v>22</v>
      </c>
    </row>
    <row r="3" spans="1:6" ht="3" customHeight="1">
      <c r="F3" s="28">
        <v>3</v>
      </c>
    </row>
    <row r="4" spans="1:6" ht="23.25" customHeight="1">
      <c r="B4" s="2023" t="s">
        <v>1977</v>
      </c>
      <c r="C4" s="320" t="s">
        <v>1978</v>
      </c>
      <c r="D4" s="320" t="s">
        <v>1979</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1980</v>
      </c>
    </row>
    <row r="4" spans="1:80" s="201" customFormat="1" ht="15" customHeight="1">
      <c r="C4" s="1743"/>
      <c r="D4" s="52"/>
      <c r="E4" s="314"/>
    </row>
    <row r="6" spans="1:80" s="1742" customFormat="1" ht="17.25" customHeight="1">
      <c r="A6" s="1742" t="s">
        <v>1981</v>
      </c>
    </row>
    <row r="8" spans="1:80" s="201" customFormat="1" ht="17.25" customHeight="1">
      <c r="C8" s="1744"/>
      <c r="D8" s="52"/>
      <c r="E8" s="53"/>
    </row>
    <row r="11" spans="1:80" s="1742" customFormat="1" ht="17.25" customHeight="1">
      <c r="A11" s="1742" t="s">
        <v>1982</v>
      </c>
    </row>
    <row r="13" spans="1:80" s="1746" customFormat="1" ht="15" customHeight="1">
      <c r="A13" s="2446">
        <v>1</v>
      </c>
      <c r="B13" s="1087"/>
      <c r="C13" s="732" t="s">
        <v>103</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446"/>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446"/>
      <c r="B15" s="1087"/>
      <c r="C15" s="349"/>
      <c r="D15" s="732"/>
      <c r="E15" s="358"/>
      <c r="F15" s="114"/>
      <c r="G15" s="352" t="s">
        <v>110</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1983</v>
      </c>
    </row>
    <row r="19" spans="1:80" s="1776" customFormat="1" ht="15" customHeight="1">
      <c r="A19" s="1808"/>
      <c r="B19" s="1293">
        <v>1</v>
      </c>
      <c r="C19" s="1293"/>
      <c r="D19" s="731" t="s">
        <v>103</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1984</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103</v>
      </c>
      <c r="D23" s="2472" t="s">
        <v>177</v>
      </c>
      <c r="E23" s="2473"/>
      <c r="F23" s="2471" t="s">
        <v>19</v>
      </c>
      <c r="G23" s="2823"/>
      <c r="H23" s="2461">
        <v>1</v>
      </c>
      <c r="I23" s="2825" t="str">
        <f>IF(U23="","",INDEX(TERRITORY_MR_LIST,MATCH(U23,TERRITORY_LIST_ID,0)))</f>
        <v/>
      </c>
      <c r="J23" s="2471" t="s">
        <v>19</v>
      </c>
      <c r="K23" s="763"/>
      <c r="L23" s="1709" t="s">
        <v>177</v>
      </c>
      <c r="M23" s="540"/>
      <c r="N23" s="541"/>
      <c r="O23" s="541"/>
      <c r="P23" s="541"/>
      <c r="Q23" s="541"/>
      <c r="R23" s="541"/>
      <c r="S23" s="541"/>
      <c r="T23" s="541"/>
      <c r="U23" s="542"/>
      <c r="V23" s="541"/>
      <c r="W23" s="541"/>
      <c r="X23" s="532"/>
      <c r="Y23" s="532" t="s">
        <v>184</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472"/>
      <c r="E24" s="2474"/>
      <c r="F24" s="2471"/>
      <c r="G24" s="2824"/>
      <c r="H24" s="2461"/>
      <c r="I24" s="2826"/>
      <c r="J24" s="2471"/>
      <c r="K24" s="358"/>
      <c r="L24" s="114"/>
      <c r="M24" s="544" t="s">
        <v>185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472"/>
      <c r="E25" s="2475"/>
      <c r="F25" s="2471"/>
      <c r="G25" s="358"/>
      <c r="H25" s="114"/>
      <c r="I25" s="517" t="s">
        <v>186</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1985</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827" t="s">
        <v>103</v>
      </c>
      <c r="H29" s="2441">
        <v>1</v>
      </c>
      <c r="I29" s="2828" t="str">
        <f>IF(U29="","",INDEX(TERRITORY_MR_LIST,MATCH(U29,TERRITORY_LIST_ID,0)))</f>
        <v/>
      </c>
      <c r="J29" s="2471" t="s">
        <v>19</v>
      </c>
      <c r="K29" s="763"/>
      <c r="L29" s="1709" t="s">
        <v>177</v>
      </c>
      <c r="M29" s="540"/>
      <c r="N29" s="541"/>
      <c r="O29" s="541"/>
      <c r="P29" s="541"/>
      <c r="Q29" s="541"/>
      <c r="R29" s="541"/>
      <c r="S29" s="541"/>
      <c r="T29" s="541"/>
      <c r="U29" s="542"/>
      <c r="V29" s="541"/>
      <c r="W29" s="541"/>
      <c r="X29" s="532"/>
      <c r="Y29" s="532" t="s">
        <v>184</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827"/>
      <c r="H30" s="2441"/>
      <c r="I30" s="2828"/>
      <c r="J30" s="2471"/>
      <c r="K30" s="358"/>
      <c r="L30" s="114"/>
      <c r="M30" s="544" t="s">
        <v>185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1986</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103</v>
      </c>
      <c r="L34" s="1656" t="s">
        <v>177</v>
      </c>
      <c r="M34" s="742"/>
      <c r="N34" s="743"/>
      <c r="O34" s="541"/>
      <c r="P34" s="541"/>
      <c r="Q34" s="541"/>
      <c r="R34" s="541"/>
      <c r="S34" s="541"/>
      <c r="T34" s="541"/>
      <c r="U34" s="542"/>
      <c r="V34" s="541"/>
      <c r="W34" s="541"/>
      <c r="X34" s="532"/>
      <c r="Y34" s="532" t="s">
        <v>184</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1987</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1988</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1989</v>
      </c>
    </row>
    <row r="46" spans="1:38" ht="11.25" customHeight="1"/>
    <row r="47" spans="1:38" s="392" customFormat="1" ht="24" customHeight="1">
      <c r="A47" s="2556" t="s">
        <v>393</v>
      </c>
      <c r="B47" s="439"/>
      <c r="C47" s="2567"/>
      <c r="D47" s="382" t="str">
        <f>A47</f>
        <v>5.1</v>
      </c>
      <c r="E47" s="379" t="s">
        <v>394</v>
      </c>
      <c r="F47" s="1899" t="s">
        <v>386</v>
      </c>
      <c r="G47" s="381" t="s">
        <v>395</v>
      </c>
      <c r="H47" s="412"/>
      <c r="I47" s="783"/>
    </row>
    <row r="48" spans="1:38" s="392" customFormat="1" ht="22.5" customHeight="1">
      <c r="A48" s="2556"/>
      <c r="B48" s="439"/>
      <c r="C48" s="2567"/>
      <c r="D48" s="377" t="str">
        <f>D47&amp;".1"</f>
        <v>5.1.1</v>
      </c>
      <c r="E48" s="376" t="s">
        <v>396</v>
      </c>
      <c r="F48" s="1900" t="s">
        <v>28</v>
      </c>
      <c r="G48" s="411"/>
      <c r="H48" s="412"/>
      <c r="I48" s="783"/>
    </row>
    <row r="49" spans="1:45" s="392" customFormat="1" ht="22.5" customHeight="1">
      <c r="A49" s="2556"/>
      <c r="B49" s="439"/>
      <c r="C49" s="2567"/>
      <c r="D49" s="377" t="str">
        <f>D47&amp;".2"</f>
        <v>5.1.2</v>
      </c>
      <c r="E49" s="376" t="s">
        <v>397</v>
      </c>
      <c r="F49" s="1659" t="s">
        <v>28</v>
      </c>
      <c r="G49" s="381" t="s">
        <v>398</v>
      </c>
      <c r="H49" s="412"/>
      <c r="I49" s="783"/>
    </row>
    <row r="50" spans="1:45" s="392" customFormat="1" ht="22.5" customHeight="1">
      <c r="A50" s="2556"/>
      <c r="B50" s="439"/>
      <c r="C50" s="2567"/>
      <c r="D50" s="377" t="str">
        <f>D47&amp;".3"</f>
        <v>5.1.3</v>
      </c>
      <c r="E50" s="376" t="s">
        <v>399</v>
      </c>
      <c r="F50" s="1900" t="s">
        <v>28</v>
      </c>
      <c r="G50" s="411"/>
      <c r="H50" s="412"/>
      <c r="I50" s="783"/>
    </row>
    <row r="51" spans="1:45" s="392" customFormat="1" ht="22.5" customHeight="1">
      <c r="A51" s="2556"/>
      <c r="B51" s="439"/>
      <c r="C51" s="2567"/>
      <c r="D51" s="377" t="str">
        <f>D47&amp;".4"</f>
        <v>5.1.4</v>
      </c>
      <c r="E51" s="376" t="s">
        <v>400</v>
      </c>
      <c r="F51" s="1900" t="s">
        <v>28</v>
      </c>
      <c r="G51" s="381" t="s">
        <v>401</v>
      </c>
      <c r="H51" s="412"/>
      <c r="I51" s="783"/>
    </row>
    <row r="54" spans="1:45" s="1742" customFormat="1" ht="17.25" customHeight="1">
      <c r="A54" s="1742" t="s">
        <v>1990</v>
      </c>
    </row>
    <row r="56" spans="1:45" s="1539" customFormat="1" ht="18.75" customHeight="1">
      <c r="A56" s="28"/>
      <c r="B56" s="1749"/>
      <c r="C56" s="1749"/>
      <c r="D56" s="1750"/>
      <c r="E56" s="1736"/>
      <c r="F56" s="799">
        <v>13</v>
      </c>
      <c r="G56" s="798"/>
      <c r="H56" s="724"/>
      <c r="I56" s="722"/>
      <c r="J56" s="457" t="s">
        <v>19</v>
      </c>
      <c r="K56" s="2423" t="s">
        <v>28</v>
      </c>
      <c r="L56" s="28"/>
      <c r="M56" s="1563"/>
      <c r="N56" s="1563"/>
      <c r="O56" s="1563"/>
      <c r="P56" s="453" t="s">
        <v>472</v>
      </c>
      <c r="Q56" s="453" t="s">
        <v>473</v>
      </c>
      <c r="R56" s="454" t="s">
        <v>474</v>
      </c>
      <c r="S56" s="1563" t="s">
        <v>475</v>
      </c>
      <c r="T56" s="1563"/>
      <c r="U56" s="1563"/>
      <c r="V56" s="1563"/>
    </row>
    <row r="58" spans="1:45" s="1742" customFormat="1" ht="11.25" customHeight="1">
      <c r="A58" s="1742" t="s">
        <v>1991</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461</v>
      </c>
      <c r="AQ60" s="1551" t="s">
        <v>461</v>
      </c>
      <c r="AR60" s="1563"/>
      <c r="AS60" s="1563"/>
    </row>
    <row r="62" spans="1:45" s="1742" customFormat="1" ht="11.25" customHeight="1">
      <c r="A62" s="1742" t="s">
        <v>1992</v>
      </c>
    </row>
    <row r="64" spans="1:45" s="1749" customFormat="1" ht="15" customHeight="1">
      <c r="A64" s="82" t="s">
        <v>90</v>
      </c>
      <c r="B64" s="64" t="s">
        <v>28</v>
      </c>
      <c r="C64" s="1752"/>
      <c r="D64" s="67"/>
      <c r="E64" s="318"/>
      <c r="F64" s="318"/>
      <c r="G64" s="1730"/>
      <c r="H64" s="1751"/>
      <c r="I64" s="1731"/>
      <c r="K64" s="209"/>
      <c r="L64" s="210"/>
    </row>
    <row r="66" spans="1:30" s="1742" customFormat="1" ht="11.25" customHeight="1">
      <c r="A66" s="1742" t="s">
        <v>1993</v>
      </c>
    </row>
    <row r="68" spans="1:30" s="1562" customFormat="1" ht="14.25" customHeight="1">
      <c r="A68" s="280"/>
      <c r="B68" s="1087"/>
      <c r="C68" s="313"/>
      <c r="D68" s="1737"/>
      <c r="E68" s="816"/>
      <c r="F68" s="1751"/>
      <c r="G68" s="28"/>
      <c r="I68" s="1551"/>
      <c r="J68" s="1551"/>
    </row>
    <row r="70" spans="1:30" s="1742" customFormat="1" ht="11.25" customHeight="1">
      <c r="A70" s="1742" t="s">
        <v>1994</v>
      </c>
    </row>
    <row r="72" spans="1:30" s="1562" customFormat="1" ht="27" customHeight="1">
      <c r="A72" s="1093"/>
      <c r="B72" s="1093"/>
      <c r="C72" s="1093"/>
      <c r="D72" s="1087"/>
      <c r="E72" s="1753"/>
      <c r="F72" s="2791"/>
      <c r="G72" s="2792"/>
      <c r="H72" s="2793" t="s">
        <v>66</v>
      </c>
      <c r="I72" s="2795"/>
      <c r="J72" s="2797"/>
      <c r="K72" s="2799"/>
      <c r="L72" s="2810"/>
      <c r="M72" s="2810"/>
      <c r="N72" s="2831"/>
      <c r="O72" s="2831"/>
      <c r="P72" s="2832" t="e">
        <f>DATEDIF(DATEVALUE(N72),DATEVALUE(O72),"y")&amp;"г. "&amp;DATEDIF(DATEVALUE(N72),DATEVALUE(O72),"ym")&amp;"мес. "&amp;DATEVALUE(O72)-DATE(YEAR(DATEVALUE(O72)),MONTH(DATEVALUE(O72)),1)&amp;"дн. "</f>
        <v>#VALUE!</v>
      </c>
      <c r="Q72" s="2811"/>
      <c r="R72" s="2811"/>
      <c r="S72" s="2811"/>
      <c r="T72" s="2797"/>
      <c r="U72" s="2811"/>
      <c r="V72" s="2811"/>
      <c r="W72" s="2811"/>
      <c r="X72" s="2797"/>
      <c r="Y72" s="2829" t="s">
        <v>66</v>
      </c>
      <c r="Z72" s="1735"/>
      <c r="AA72" s="1719">
        <v>1</v>
      </c>
      <c r="AB72" s="1169"/>
      <c r="AD72" s="1563" t="s">
        <v>1995</v>
      </c>
    </row>
    <row r="73" spans="1:30" s="1562" customFormat="1" ht="10.5" customHeight="1">
      <c r="A73" s="1093"/>
      <c r="B73" s="1093"/>
      <c r="C73" s="1093"/>
      <c r="D73" s="1087"/>
      <c r="E73" s="877"/>
      <c r="F73" s="2791"/>
      <c r="G73" s="2792"/>
      <c r="H73" s="2794"/>
      <c r="I73" s="2796"/>
      <c r="J73" s="2798"/>
      <c r="K73" s="2799"/>
      <c r="L73" s="2810"/>
      <c r="M73" s="2810"/>
      <c r="N73" s="2831"/>
      <c r="O73" s="2831"/>
      <c r="P73" s="2832"/>
      <c r="Q73" s="2811"/>
      <c r="R73" s="2811"/>
      <c r="S73" s="2811"/>
      <c r="T73" s="2798"/>
      <c r="U73" s="2811"/>
      <c r="V73" s="2811"/>
      <c r="W73" s="2811"/>
      <c r="X73" s="2798"/>
      <c r="Y73" s="2830"/>
      <c r="Z73" s="284"/>
      <c r="AA73" s="509"/>
      <c r="AB73" s="589" t="s">
        <v>1996</v>
      </c>
    </row>
    <row r="75" spans="1:30" s="1742" customFormat="1" ht="11.25" customHeight="1">
      <c r="A75" s="1742" t="s">
        <v>1997</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1995</v>
      </c>
    </row>
    <row r="79" spans="1:30" s="1742" customFormat="1" ht="11.25" customHeight="1">
      <c r="A79" s="1742" t="s">
        <v>1998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835"/>
      <c r="G82" s="2751"/>
      <c r="H82" s="2838" t="s">
        <v>456</v>
      </c>
      <c r="I82" s="2839"/>
      <c r="J82" s="2803"/>
      <c r="K82" s="2803"/>
      <c r="L82" s="2833"/>
      <c r="M82" s="2598"/>
      <c r="N82" s="1959"/>
      <c r="O82" s="1958"/>
      <c r="P82" s="1959"/>
      <c r="Q82" s="1959"/>
      <c r="R82" s="1959"/>
      <c r="S82" s="1959"/>
      <c r="T82" s="1959"/>
      <c r="U82" s="1959"/>
      <c r="V82" s="1959"/>
      <c r="W82" s="1959"/>
      <c r="X82" s="1959"/>
      <c r="Y82" s="1959"/>
      <c r="Z82" s="1959"/>
      <c r="AA82" s="1959"/>
      <c r="AB82" s="1959"/>
      <c r="AC82" s="1959"/>
      <c r="AD82" s="1959"/>
      <c r="AE82" s="1959"/>
      <c r="AF82" s="2837"/>
      <c r="AG82" s="2833"/>
      <c r="AH82" s="2833"/>
      <c r="AI82" s="2837"/>
      <c r="AJ82" s="2833"/>
      <c r="AK82" s="28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835"/>
      <c r="G83" s="2751"/>
      <c r="H83" s="2838"/>
      <c r="I83" s="2839"/>
      <c r="J83" s="2803"/>
      <c r="K83" s="2803"/>
      <c r="L83" s="2833"/>
      <c r="M83" s="2598"/>
      <c r="N83" s="2840"/>
      <c r="O83" s="2841"/>
      <c r="P83" s="2800"/>
      <c r="Q83" s="2803"/>
      <c r="R83" s="2803"/>
      <c r="S83" s="2803"/>
      <c r="T83" s="2803"/>
      <c r="U83" s="2803"/>
      <c r="V83" s="2803"/>
      <c r="W83" s="2803"/>
      <c r="X83" s="2803"/>
      <c r="Y83" s="2803"/>
      <c r="Z83" s="1960"/>
      <c r="AA83" s="1961"/>
      <c r="AB83" s="1961"/>
      <c r="AC83" s="1962"/>
      <c r="AD83" s="1962"/>
      <c r="AE83" s="1963"/>
      <c r="AF83" s="2837"/>
      <c r="AG83" s="2833"/>
      <c r="AH83" s="2833"/>
      <c r="AI83" s="2837"/>
      <c r="AJ83" s="2833"/>
      <c r="AK83" s="28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835"/>
      <c r="G84" s="2751"/>
      <c r="H84" s="2838"/>
      <c r="I84" s="2839"/>
      <c r="J84" s="2803"/>
      <c r="K84" s="2803"/>
      <c r="L84" s="2833"/>
      <c r="M84" s="2598"/>
      <c r="N84" s="2840"/>
      <c r="O84" s="2841"/>
      <c r="P84" s="2801"/>
      <c r="Q84" s="2803"/>
      <c r="R84" s="2803"/>
      <c r="S84" s="2803"/>
      <c r="T84" s="2803"/>
      <c r="U84" s="2803"/>
      <c r="V84" s="2803"/>
      <c r="W84" s="2803"/>
      <c r="X84" s="2803"/>
      <c r="Y84" s="2803"/>
      <c r="Z84" s="1964"/>
      <c r="AA84" s="1965"/>
      <c r="AB84" s="1966"/>
      <c r="AC84" s="1967"/>
      <c r="AD84" s="1966"/>
      <c r="AE84" s="1967"/>
      <c r="AF84" s="2837"/>
      <c r="AG84" s="2833"/>
      <c r="AH84" s="2833"/>
      <c r="AI84" s="2837"/>
      <c r="AJ84" s="2833"/>
      <c r="AK84" s="28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835"/>
      <c r="G85" s="2751"/>
      <c r="H85" s="2838"/>
      <c r="I85" s="2839"/>
      <c r="J85" s="2803"/>
      <c r="K85" s="2803"/>
      <c r="L85" s="2833"/>
      <c r="M85" s="2598"/>
      <c r="N85" s="2840"/>
      <c r="O85" s="2841"/>
      <c r="P85" s="2802"/>
      <c r="Q85" s="2803"/>
      <c r="R85" s="2803"/>
      <c r="S85" s="2803"/>
      <c r="T85" s="2803"/>
      <c r="U85" s="2803"/>
      <c r="V85" s="2803"/>
      <c r="W85" s="2803"/>
      <c r="X85" s="2803"/>
      <c r="Y85" s="2803"/>
      <c r="Z85" s="1960"/>
      <c r="AA85" s="1961"/>
      <c r="AB85" s="1968"/>
      <c r="AC85" s="1962"/>
      <c r="AD85" s="1962"/>
      <c r="AE85" s="1969"/>
      <c r="AF85" s="2837"/>
      <c r="AG85" s="2833"/>
      <c r="AH85" s="2833"/>
      <c r="AI85" s="2837"/>
      <c r="AJ85" s="2833"/>
      <c r="AK85" s="28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835"/>
      <c r="G86" s="2751"/>
      <c r="H86" s="2838"/>
      <c r="I86" s="2839"/>
      <c r="J86" s="2803"/>
      <c r="K86" s="2803"/>
      <c r="L86" s="2833"/>
      <c r="M86" s="2598"/>
      <c r="N86" s="1961"/>
      <c r="O86" s="1961"/>
      <c r="P86" s="1968"/>
      <c r="Q86" s="1961"/>
      <c r="R86" s="1961"/>
      <c r="S86" s="1961"/>
      <c r="T86" s="1961"/>
      <c r="U86" s="1961"/>
      <c r="V86" s="1961"/>
      <c r="W86" s="1961"/>
      <c r="X86" s="1961"/>
      <c r="Y86" s="1961"/>
      <c r="Z86" s="1961"/>
      <c r="AA86" s="1961"/>
      <c r="AB86" s="1961"/>
      <c r="AC86" s="1961"/>
      <c r="AD86" s="1961"/>
      <c r="AE86" s="1970"/>
      <c r="AF86" s="2837"/>
      <c r="AG86" s="2833"/>
      <c r="AH86" s="2833"/>
      <c r="AI86" s="2837"/>
      <c r="AJ86" s="2833"/>
      <c r="AK86" s="28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836"/>
      <c r="G87" s="1117"/>
      <c r="H87" s="1117"/>
      <c r="I87" s="2834" t="s">
        <v>1999</v>
      </c>
      <c r="J87" s="2834"/>
      <c r="K87" s="28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2000</v>
      </c>
    </row>
    <row r="91" spans="1:58" s="1562" customFormat="1" ht="11.25" customHeight="1">
      <c r="A91" s="1093"/>
      <c r="B91" s="1093"/>
      <c r="C91" s="1093"/>
      <c r="D91" s="1087"/>
      <c r="E91" s="1097"/>
      <c r="F91" s="1755"/>
      <c r="G91" s="1756"/>
      <c r="H91" s="1756"/>
      <c r="I91" s="1691"/>
      <c r="J91" s="1691"/>
      <c r="K91" s="1757"/>
      <c r="L91" s="1691"/>
      <c r="M91" s="1756"/>
      <c r="N91" s="2804"/>
      <c r="O91" s="2805">
        <v>1</v>
      </c>
      <c r="P91" s="2806" t="s">
        <v>19</v>
      </c>
      <c r="Q91" s="2715" t="s">
        <v>28</v>
      </c>
      <c r="R91" s="2715" t="s">
        <v>28</v>
      </c>
      <c r="S91" s="2715" t="s">
        <v>28</v>
      </c>
      <c r="T91" s="2715" t="s">
        <v>28</v>
      </c>
      <c r="U91" s="2715" t="s">
        <v>28</v>
      </c>
      <c r="V91" s="2715" t="s">
        <v>28</v>
      </c>
      <c r="W91" s="2715" t="s">
        <v>28</v>
      </c>
      <c r="X91" s="2715" t="s">
        <v>28</v>
      </c>
      <c r="Y91" s="2715"/>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804"/>
      <c r="O92" s="2805"/>
      <c r="P92" s="2807"/>
      <c r="Q92" s="2715"/>
      <c r="R92" s="2715"/>
      <c r="S92" s="2809"/>
      <c r="T92" s="2715"/>
      <c r="U92" s="2715"/>
      <c r="V92" s="2715"/>
      <c r="W92" s="2715"/>
      <c r="X92" s="2715"/>
      <c r="Y92" s="2715"/>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804"/>
      <c r="O93" s="2805"/>
      <c r="P93" s="2808"/>
      <c r="Q93" s="2715"/>
      <c r="R93" s="2715"/>
      <c r="S93" s="2809"/>
      <c r="T93" s="2715"/>
      <c r="U93" s="2715"/>
      <c r="V93" s="2715"/>
      <c r="W93" s="2715"/>
      <c r="X93" s="2715"/>
      <c r="Y93" s="2715"/>
      <c r="Z93" s="1102"/>
      <c r="AA93" s="1103"/>
      <c r="AB93" s="1168" t="s">
        <v>2001</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2002</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2003</v>
      </c>
    </row>
    <row r="101" spans="1:184" s="1562" customFormat="1" ht="11.25" customHeight="1">
      <c r="A101" s="1093"/>
      <c r="B101" s="1093"/>
      <c r="C101" s="1093"/>
      <c r="D101" s="1087"/>
      <c r="E101" s="1097"/>
      <c r="F101" s="1755"/>
      <c r="G101" s="1756"/>
      <c r="H101" s="2751" t="s">
        <v>177</v>
      </c>
      <c r="I101" s="2854"/>
      <c r="J101" s="2784"/>
      <c r="K101" s="2852"/>
      <c r="L101" s="2471" t="s">
        <v>19</v>
      </c>
      <c r="M101" s="2472"/>
      <c r="N101" s="1909"/>
      <c r="O101" s="1104" t="s">
        <v>456</v>
      </c>
      <c r="P101" s="1105"/>
      <c r="Q101" s="1105"/>
      <c r="R101" s="1105"/>
      <c r="S101" s="1105"/>
      <c r="T101" s="1105"/>
      <c r="U101" s="1105"/>
      <c r="V101" s="1105"/>
      <c r="W101" s="1105"/>
      <c r="X101" s="1105"/>
      <c r="Y101" s="1105"/>
      <c r="Z101" s="1105"/>
      <c r="AA101" s="1105"/>
      <c r="AB101" s="1105"/>
      <c r="AC101" s="1105"/>
      <c r="AD101" s="1105"/>
      <c r="AE101" s="1105"/>
      <c r="AF101" s="2855"/>
      <c r="AG101" s="2856"/>
      <c r="AH101" s="2856"/>
      <c r="AI101" s="2855"/>
      <c r="AJ101" s="2856"/>
      <c r="AK101" s="28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751"/>
      <c r="I102" s="2854"/>
      <c r="J102" s="2784"/>
      <c r="K102" s="2852"/>
      <c r="L102" s="2471"/>
      <c r="M102" s="2472"/>
      <c r="N102" s="2804"/>
      <c r="O102" s="2857">
        <v>1</v>
      </c>
      <c r="P102" s="2806" t="s">
        <v>19</v>
      </c>
      <c r="Q102" s="2715" t="s">
        <v>28</v>
      </c>
      <c r="R102" s="2715" t="s">
        <v>28</v>
      </c>
      <c r="S102" s="2715" t="s">
        <v>28</v>
      </c>
      <c r="T102" s="2715" t="s">
        <v>28</v>
      </c>
      <c r="U102" s="2715" t="s">
        <v>28</v>
      </c>
      <c r="V102" s="2715" t="s">
        <v>28</v>
      </c>
      <c r="W102" s="2715" t="s">
        <v>28</v>
      </c>
      <c r="X102" s="2715" t="s">
        <v>28</v>
      </c>
      <c r="Y102" s="2715"/>
      <c r="Z102" s="1102"/>
      <c r="AA102" s="1103"/>
      <c r="AB102" s="1103"/>
      <c r="AC102" s="1107"/>
      <c r="AD102" s="1107"/>
      <c r="AE102" s="1108"/>
      <c r="AF102" s="2855"/>
      <c r="AG102" s="2856"/>
      <c r="AH102" s="2856"/>
      <c r="AI102" s="2855"/>
      <c r="AJ102" s="2856"/>
      <c r="AK102" s="28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751"/>
      <c r="I103" s="2854"/>
      <c r="J103" s="2784"/>
      <c r="K103" s="2852"/>
      <c r="L103" s="2471"/>
      <c r="M103" s="2472"/>
      <c r="N103" s="2804"/>
      <c r="O103" s="2857"/>
      <c r="P103" s="2807"/>
      <c r="Q103" s="2715"/>
      <c r="R103" s="2715"/>
      <c r="S103" s="2809"/>
      <c r="T103" s="2715"/>
      <c r="U103" s="2715"/>
      <c r="V103" s="2715"/>
      <c r="W103" s="2715"/>
      <c r="X103" s="2715"/>
      <c r="Y103" s="2715"/>
      <c r="Z103" s="1754"/>
      <c r="AA103" s="1721">
        <v>1</v>
      </c>
      <c r="AB103" s="1106"/>
      <c r="AC103" s="1096"/>
      <c r="AD103" s="1106">
        <f>AB103</f>
        <v>0</v>
      </c>
      <c r="AE103" s="1096"/>
      <c r="AF103" s="2855"/>
      <c r="AG103" s="2856"/>
      <c r="AH103" s="2856"/>
      <c r="AI103" s="2855"/>
      <c r="AJ103" s="2856"/>
      <c r="AK103" s="28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751"/>
      <c r="I104" s="2854"/>
      <c r="J104" s="2784"/>
      <c r="K104" s="2852"/>
      <c r="L104" s="2471"/>
      <c r="M104" s="2472"/>
      <c r="N104" s="2804"/>
      <c r="O104" s="2857"/>
      <c r="P104" s="2808"/>
      <c r="Q104" s="2715"/>
      <c r="R104" s="2715"/>
      <c r="S104" s="2809"/>
      <c r="T104" s="2715"/>
      <c r="U104" s="2715"/>
      <c r="V104" s="2715"/>
      <c r="W104" s="2715"/>
      <c r="X104" s="2715"/>
      <c r="Y104" s="2715"/>
      <c r="Z104" s="1102"/>
      <c r="AA104" s="1103"/>
      <c r="AB104" s="1168" t="s">
        <v>2001</v>
      </c>
      <c r="AC104" s="1107"/>
      <c r="AD104" s="1107"/>
      <c r="AE104" s="1109"/>
      <c r="AF104" s="2855"/>
      <c r="AG104" s="2856"/>
      <c r="AH104" s="2856"/>
      <c r="AI104" s="2855"/>
      <c r="AJ104" s="2856"/>
      <c r="AK104" s="28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751"/>
      <c r="I105" s="2854"/>
      <c r="J105" s="2784"/>
      <c r="K105" s="2852"/>
      <c r="L105" s="2471"/>
      <c r="M105" s="2472"/>
      <c r="N105" s="1102"/>
      <c r="O105" s="1103"/>
      <c r="P105" s="1095" t="s">
        <v>2004</v>
      </c>
      <c r="Q105" s="1103"/>
      <c r="R105" s="1103"/>
      <c r="S105" s="1103"/>
      <c r="T105" s="1103"/>
      <c r="U105" s="1103"/>
      <c r="V105" s="1103"/>
      <c r="W105" s="1103"/>
      <c r="X105" s="1103"/>
      <c r="Y105" s="1103"/>
      <c r="Z105" s="1103"/>
      <c r="AA105" s="1103"/>
      <c r="AB105" s="1103"/>
      <c r="AC105" s="1103"/>
      <c r="AD105" s="1103"/>
      <c r="AE105" s="1110"/>
      <c r="AF105" s="2855"/>
      <c r="AG105" s="2856"/>
      <c r="AH105" s="2856"/>
      <c r="AI105" s="2855"/>
      <c r="AJ105" s="2856"/>
      <c r="AK105" s="28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2005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2006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2007</v>
      </c>
    </row>
    <row r="115" spans="1:83" s="1776" customFormat="1" ht="15" customHeight="1">
      <c r="A115" s="560"/>
      <c r="B115" s="561"/>
      <c r="C115" s="561"/>
      <c r="D115" s="2813" t="s">
        <v>177</v>
      </c>
      <c r="E115" s="2693" t="s">
        <v>173</v>
      </c>
      <c r="F115" s="2694"/>
      <c r="G115" s="2695"/>
      <c r="H115" s="2689" t="str">
        <f>IF(A115="","",INDEX(DIFFERENTIATION_UNMERGE_VD,MATCH(A115,DIFFERENTIATION_ID_DIFF,0)))</f>
        <v/>
      </c>
      <c r="I115" s="2689"/>
      <c r="J115" s="2689"/>
      <c r="K115" s="2689"/>
      <c r="L115" s="2689"/>
      <c r="M115" s="2689"/>
      <c r="N115" s="2689"/>
      <c r="O115" s="2689"/>
      <c r="P115" s="2689"/>
      <c r="Q115" s="2689"/>
      <c r="R115" s="2689"/>
      <c r="S115" s="656"/>
      <c r="T115" s="653"/>
      <c r="U115" s="562"/>
      <c r="V115" s="562"/>
      <c r="W115" s="563"/>
      <c r="X115" s="563"/>
      <c r="Y115" s="563"/>
      <c r="Z115" s="563"/>
      <c r="AA115" s="564"/>
      <c r="AB115" s="565"/>
      <c r="AC115" s="2692"/>
      <c r="AD115" s="566"/>
      <c r="AE115" s="567" t="s">
        <v>28</v>
      </c>
      <c r="AF115" s="567"/>
      <c r="AG115" s="568" t="s">
        <v>688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814"/>
      <c r="E116" s="2693" t="s">
        <v>643</v>
      </c>
      <c r="F116" s="2694"/>
      <c r="G116" s="2695"/>
      <c r="H116" s="2689" t="str">
        <f>IF(A115="","",INDEX(DIFFERENTIATION_UNMERGE_AREA,MATCH(A115,DIFFERENTIATION_ID_DIFF,0)))</f>
        <v/>
      </c>
      <c r="I116" s="2689"/>
      <c r="J116" s="2689"/>
      <c r="K116" s="2689"/>
      <c r="L116" s="2689"/>
      <c r="M116" s="2689"/>
      <c r="N116" s="2689"/>
      <c r="O116" s="2689"/>
      <c r="P116" s="2689"/>
      <c r="Q116" s="2689"/>
      <c r="R116" s="2689"/>
      <c r="S116" s="656"/>
      <c r="T116" s="653"/>
      <c r="U116" s="562"/>
      <c r="V116" s="562"/>
      <c r="W116" s="563"/>
      <c r="X116" s="563"/>
      <c r="Y116" s="563"/>
      <c r="Z116" s="563"/>
      <c r="AA116" s="564"/>
      <c r="AB116" s="565"/>
      <c r="AC116" s="269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814"/>
      <c r="E117" s="2693" t="s">
        <v>644</v>
      </c>
      <c r="F117" s="2694"/>
      <c r="G117" s="2695"/>
      <c r="H117" s="2689" t="str">
        <f>IF(A115="","",INDEX(DIFFERENTIATION_UNMERGE_SYSTEM,MATCH(A115,DIFFERENTIATION_ID_DIFF,0)))</f>
        <v/>
      </c>
      <c r="I117" s="2689"/>
      <c r="J117" s="2689"/>
      <c r="K117" s="2689"/>
      <c r="L117" s="2689"/>
      <c r="M117" s="2689"/>
      <c r="N117" s="2689"/>
      <c r="O117" s="2689"/>
      <c r="P117" s="2689"/>
      <c r="Q117" s="2689"/>
      <c r="R117" s="2689"/>
      <c r="S117" s="656"/>
      <c r="T117" s="653"/>
      <c r="U117" s="562"/>
      <c r="V117" s="562"/>
      <c r="W117" s="563"/>
      <c r="X117" s="563"/>
      <c r="Y117" s="563"/>
      <c r="Z117" s="563"/>
      <c r="AA117" s="564"/>
      <c r="AB117" s="565"/>
      <c r="AC117" s="269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814"/>
      <c r="E118" s="2691" t="s">
        <v>689</v>
      </c>
      <c r="F118" s="2691"/>
      <c r="G118" s="2691"/>
      <c r="H118" s="2691"/>
      <c r="I118" s="2691"/>
      <c r="J118" s="2691"/>
      <c r="K118" s="2691"/>
      <c r="L118" s="2691"/>
      <c r="M118" s="2691"/>
      <c r="N118" s="2691"/>
      <c r="O118" s="2691"/>
      <c r="P118" s="2691"/>
      <c r="Q118" s="495">
        <f>SUMIF(T119:T120,"i",Q119:Q120)</f>
        <v>0</v>
      </c>
      <c r="R118" s="947"/>
      <c r="S118" s="1725" t="s">
        <v>690</v>
      </c>
      <c r="T118" s="654" t="s">
        <v>691</v>
      </c>
      <c r="U118" s="2605">
        <v>1</v>
      </c>
      <c r="V118" s="2605" t="s">
        <v>654</v>
      </c>
      <c r="W118" s="1087"/>
      <c r="X118" s="1087"/>
      <c r="Y118" s="1087"/>
      <c r="Z118" s="1087"/>
      <c r="AA118" s="1563"/>
      <c r="AB118" s="1087"/>
      <c r="AC118" s="2692"/>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814"/>
      <c r="E119" s="572"/>
      <c r="F119" s="572">
        <v>0</v>
      </c>
      <c r="G119" s="572"/>
      <c r="H119" s="572"/>
      <c r="I119" s="572"/>
      <c r="J119" s="572"/>
      <c r="K119" s="572"/>
      <c r="L119" s="572"/>
      <c r="M119" s="572"/>
      <c r="N119" s="572"/>
      <c r="O119" s="572"/>
      <c r="P119" s="572"/>
      <c r="Q119" s="572"/>
      <c r="R119" s="572"/>
      <c r="S119" s="573"/>
      <c r="T119" s="655"/>
      <c r="U119" s="2605"/>
      <c r="V119" s="2605"/>
      <c r="W119" s="1563"/>
      <c r="X119" s="1563"/>
      <c r="Y119" s="1563"/>
      <c r="Z119" s="1563"/>
      <c r="AA119" s="1563"/>
      <c r="AB119" s="1087"/>
      <c r="AC119" s="2692"/>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814"/>
      <c r="E120" s="586" t="s">
        <v>28</v>
      </c>
      <c r="F120" s="1095" t="s">
        <v>28</v>
      </c>
      <c r="G120" s="1095" t="s">
        <v>2008</v>
      </c>
      <c r="H120" s="588" t="s">
        <v>28</v>
      </c>
      <c r="I120" s="588"/>
      <c r="J120" s="588"/>
      <c r="K120" s="588"/>
      <c r="L120" s="588"/>
      <c r="M120" s="588"/>
      <c r="N120" s="588"/>
      <c r="O120" s="588"/>
      <c r="P120" s="588"/>
      <c r="Q120" s="588"/>
      <c r="R120" s="589"/>
      <c r="S120" s="590"/>
      <c r="T120" s="655"/>
      <c r="U120" s="2605"/>
      <c r="V120" s="2605"/>
      <c r="W120" s="1087"/>
      <c r="X120" s="1087"/>
      <c r="Y120" s="1087"/>
      <c r="Z120" s="1087"/>
      <c r="AA120" s="1563"/>
      <c r="AB120" s="1087"/>
      <c r="AC120" s="2692"/>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814"/>
      <c r="E121" s="2691" t="s">
        <v>692</v>
      </c>
      <c r="F121" s="2691"/>
      <c r="G121" s="2691"/>
      <c r="H121" s="2691"/>
      <c r="I121" s="2691"/>
      <c r="J121" s="2691"/>
      <c r="K121" s="2691"/>
      <c r="L121" s="2691"/>
      <c r="M121" s="2691"/>
      <c r="N121" s="2691"/>
      <c r="O121" s="2691"/>
      <c r="P121" s="2691"/>
      <c r="Q121" s="495">
        <f>SUMIF(T122:T123,"i",Q122:Q123)</f>
        <v>0</v>
      </c>
      <c r="R121" s="947"/>
      <c r="S121" s="1725" t="s">
        <v>693</v>
      </c>
      <c r="T121" s="654" t="s">
        <v>691</v>
      </c>
      <c r="U121" s="2605">
        <v>1</v>
      </c>
      <c r="V121" s="2605" t="s">
        <v>654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814"/>
      <c r="E122" s="572"/>
      <c r="F122" s="572">
        <v>0</v>
      </c>
      <c r="G122" s="572"/>
      <c r="H122" s="572"/>
      <c r="I122" s="572"/>
      <c r="J122" s="572"/>
      <c r="K122" s="572"/>
      <c r="L122" s="572"/>
      <c r="M122" s="572"/>
      <c r="N122" s="572"/>
      <c r="O122" s="572"/>
      <c r="P122" s="572"/>
      <c r="Q122" s="572"/>
      <c r="R122" s="572"/>
      <c r="S122" s="573"/>
      <c r="T122" s="655"/>
      <c r="U122" s="2605"/>
      <c r="V122" s="260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815"/>
      <c r="E123" s="586" t="s">
        <v>28</v>
      </c>
      <c r="F123" s="1095" t="s">
        <v>28</v>
      </c>
      <c r="G123" s="1095" t="s">
        <v>2008</v>
      </c>
      <c r="H123" s="588" t="s">
        <v>28</v>
      </c>
      <c r="I123" s="588"/>
      <c r="J123" s="588"/>
      <c r="K123" s="588"/>
      <c r="L123" s="588"/>
      <c r="M123" s="588"/>
      <c r="N123" s="588"/>
      <c r="O123" s="588"/>
      <c r="P123" s="588"/>
      <c r="Q123" s="588"/>
      <c r="R123" s="589"/>
      <c r="S123" s="590"/>
      <c r="T123" s="655"/>
      <c r="U123" s="2605"/>
      <c r="V123" s="260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2009</v>
      </c>
    </row>
    <row r="127" spans="1:83" s="1776" customFormat="1" ht="15" customHeight="1">
      <c r="A127" s="560"/>
      <c r="B127" s="561"/>
      <c r="C127" s="561"/>
      <c r="D127" s="2813" t="s">
        <v>177</v>
      </c>
      <c r="E127" s="2693" t="s">
        <v>173</v>
      </c>
      <c r="F127" s="2694"/>
      <c r="G127" s="2695"/>
      <c r="H127" s="2689" t="str">
        <f>IF(A127="","",INDEX(DIFFERENTIATION_UNMERGE_VD,MATCH(A127,DIFFERENTIATION_ID_DIFF,0)))</f>
        <v/>
      </c>
      <c r="I127" s="2689"/>
      <c r="J127" s="2689"/>
      <c r="K127" s="2689"/>
      <c r="L127" s="2689"/>
      <c r="M127" s="2689"/>
      <c r="N127" s="2689"/>
      <c r="O127" s="2689"/>
      <c r="P127" s="2689"/>
      <c r="Q127" s="2689"/>
      <c r="R127" s="2689"/>
      <c r="S127" s="656"/>
      <c r="T127" s="653"/>
      <c r="U127" s="562"/>
      <c r="V127" s="562"/>
      <c r="W127" s="563"/>
      <c r="X127" s="563"/>
      <c r="Y127" s="563"/>
      <c r="Z127" s="563"/>
      <c r="AA127" s="564"/>
      <c r="AB127" s="565"/>
      <c r="AC127" s="2692"/>
      <c r="AD127" s="566"/>
      <c r="AE127" s="567" t="s">
        <v>28</v>
      </c>
      <c r="AF127" s="567"/>
      <c r="AG127" s="568" t="s">
        <v>688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814"/>
      <c r="E128" s="2693" t="s">
        <v>643</v>
      </c>
      <c r="F128" s="2694"/>
      <c r="G128" s="2695"/>
      <c r="H128" s="2689" t="str">
        <f>IF(A127="","",INDEX(DIFFERENTIATION_UNMERGE_AREA,MATCH(A127,DIFFERENTIATION_ID_DIFF,0)))</f>
        <v/>
      </c>
      <c r="I128" s="2689"/>
      <c r="J128" s="2689"/>
      <c r="K128" s="2689"/>
      <c r="L128" s="2689"/>
      <c r="M128" s="2689"/>
      <c r="N128" s="2689"/>
      <c r="O128" s="2689"/>
      <c r="P128" s="2689"/>
      <c r="Q128" s="2689"/>
      <c r="R128" s="2689"/>
      <c r="S128" s="656"/>
      <c r="T128" s="653"/>
      <c r="U128" s="562"/>
      <c r="V128" s="562"/>
      <c r="W128" s="563"/>
      <c r="X128" s="563"/>
      <c r="Y128" s="563"/>
      <c r="Z128" s="563"/>
      <c r="AA128" s="564"/>
      <c r="AB128" s="565"/>
      <c r="AC128" s="269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814"/>
      <c r="E129" s="2693" t="s">
        <v>644</v>
      </c>
      <c r="F129" s="2694"/>
      <c r="G129" s="2695"/>
      <c r="H129" s="2689" t="str">
        <f>IF(A127="","",INDEX(DIFFERENTIATION_UNMERGE_SYSTEM,MATCH(A127,DIFFERENTIATION_ID_DIFF,0)))</f>
        <v/>
      </c>
      <c r="I129" s="2689"/>
      <c r="J129" s="2689"/>
      <c r="K129" s="2689"/>
      <c r="L129" s="2689"/>
      <c r="M129" s="2689"/>
      <c r="N129" s="2689"/>
      <c r="O129" s="2689"/>
      <c r="P129" s="2689"/>
      <c r="Q129" s="2689"/>
      <c r="R129" s="2689"/>
      <c r="S129" s="656"/>
      <c r="T129" s="653"/>
      <c r="U129" s="562"/>
      <c r="V129" s="562"/>
      <c r="W129" s="563"/>
      <c r="X129" s="563"/>
      <c r="Y129" s="563"/>
      <c r="Z129" s="563"/>
      <c r="AA129" s="564"/>
      <c r="AB129" s="565"/>
      <c r="AC129" s="269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814"/>
      <c r="E130" s="2691" t="s">
        <v>689</v>
      </c>
      <c r="F130" s="2691"/>
      <c r="G130" s="2691"/>
      <c r="H130" s="2691"/>
      <c r="I130" s="2691"/>
      <c r="J130" s="2691"/>
      <c r="K130" s="2691"/>
      <c r="L130" s="2691"/>
      <c r="M130" s="2691"/>
      <c r="N130" s="2691"/>
      <c r="O130" s="2691"/>
      <c r="P130" s="2691"/>
      <c r="Q130" s="495">
        <f>SUMIF(T131:T132,"i",Q131:Q132)</f>
        <v>0</v>
      </c>
      <c r="R130" s="947"/>
      <c r="S130" s="1725" t="s">
        <v>690</v>
      </c>
      <c r="T130" s="654" t="s">
        <v>691</v>
      </c>
      <c r="U130" s="2605">
        <v>1</v>
      </c>
      <c r="V130" s="2605" t="s">
        <v>654</v>
      </c>
      <c r="W130" s="1087"/>
      <c r="X130" s="1087"/>
      <c r="Y130" s="1087"/>
      <c r="Z130" s="1087"/>
      <c r="AA130" s="1563"/>
      <c r="AB130" s="1087"/>
      <c r="AC130" s="2692"/>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814"/>
      <c r="E131" s="572"/>
      <c r="F131" s="572">
        <v>0</v>
      </c>
      <c r="G131" s="572"/>
      <c r="H131" s="572"/>
      <c r="I131" s="572"/>
      <c r="J131" s="572"/>
      <c r="K131" s="572"/>
      <c r="L131" s="572"/>
      <c r="M131" s="572"/>
      <c r="N131" s="572"/>
      <c r="O131" s="572"/>
      <c r="P131" s="572"/>
      <c r="Q131" s="572"/>
      <c r="R131" s="572"/>
      <c r="S131" s="573"/>
      <c r="T131" s="655"/>
      <c r="U131" s="2605"/>
      <c r="V131" s="2605"/>
      <c r="W131" s="1563"/>
      <c r="X131" s="1563"/>
      <c r="Y131" s="1563"/>
      <c r="Z131" s="1563"/>
      <c r="AA131" s="1563"/>
      <c r="AB131" s="1087"/>
      <c r="AC131" s="2692"/>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814"/>
      <c r="E132" s="586" t="s">
        <v>28</v>
      </c>
      <c r="F132" s="1095" t="s">
        <v>28</v>
      </c>
      <c r="G132" s="1095" t="s">
        <v>2008</v>
      </c>
      <c r="H132" s="588" t="s">
        <v>28</v>
      </c>
      <c r="I132" s="588"/>
      <c r="J132" s="588"/>
      <c r="K132" s="588"/>
      <c r="L132" s="588"/>
      <c r="M132" s="588"/>
      <c r="N132" s="588"/>
      <c r="O132" s="588"/>
      <c r="P132" s="588"/>
      <c r="Q132" s="588"/>
      <c r="R132" s="589"/>
      <c r="S132" s="590"/>
      <c r="T132" s="655"/>
      <c r="U132" s="2605"/>
      <c r="V132" s="2605"/>
      <c r="W132" s="1087"/>
      <c r="X132" s="1087"/>
      <c r="Y132" s="1087"/>
      <c r="Z132" s="1087"/>
      <c r="AA132" s="1563"/>
      <c r="AB132" s="1087"/>
      <c r="AC132" s="2692"/>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814"/>
      <c r="E133" s="969"/>
      <c r="F133" s="969"/>
      <c r="G133" s="969"/>
      <c r="H133" s="969"/>
      <c r="I133" s="969"/>
      <c r="J133" s="969"/>
      <c r="K133" s="969"/>
      <c r="L133" s="969"/>
      <c r="M133" s="969"/>
      <c r="N133" s="969"/>
      <c r="O133" s="969"/>
      <c r="P133" s="969"/>
      <c r="Q133" s="970"/>
      <c r="R133" s="971"/>
      <c r="S133" s="972"/>
      <c r="T133" s="654" t="s">
        <v>691</v>
      </c>
      <c r="U133" s="2605">
        <v>1</v>
      </c>
      <c r="V133" s="2605" t="s">
        <v>654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814"/>
      <c r="E134" s="572"/>
      <c r="F134" s="572"/>
      <c r="G134" s="572"/>
      <c r="H134" s="572"/>
      <c r="I134" s="572"/>
      <c r="J134" s="572"/>
      <c r="K134" s="572"/>
      <c r="L134" s="572"/>
      <c r="M134" s="572"/>
      <c r="N134" s="572"/>
      <c r="O134" s="572"/>
      <c r="P134" s="572"/>
      <c r="Q134" s="572"/>
      <c r="R134" s="572"/>
      <c r="S134" s="573"/>
      <c r="T134" s="655"/>
      <c r="U134" s="2605"/>
      <c r="V134" s="260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815"/>
      <c r="E135" s="973"/>
      <c r="F135" s="974"/>
      <c r="G135" s="974"/>
      <c r="H135" s="975"/>
      <c r="I135" s="975"/>
      <c r="J135" s="975"/>
      <c r="K135" s="975"/>
      <c r="L135" s="975"/>
      <c r="M135" s="975"/>
      <c r="N135" s="975"/>
      <c r="O135" s="975"/>
      <c r="P135" s="975"/>
      <c r="Q135" s="975"/>
      <c r="R135" s="876"/>
      <c r="S135" s="976"/>
      <c r="T135" s="655"/>
      <c r="U135" s="2605"/>
      <c r="V135" s="260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2010</v>
      </c>
    </row>
    <row r="139" spans="1:83" s="1776" customFormat="1" ht="45" customHeight="1">
      <c r="A139" s="1733"/>
      <c r="B139" s="1087"/>
      <c r="C139" s="349"/>
      <c r="D139" s="28"/>
      <c r="E139" s="2818"/>
      <c r="F139" s="2472" t="s">
        <v>177</v>
      </c>
      <c r="G139" s="2821" t="s">
        <v>28</v>
      </c>
      <c r="H139" s="226"/>
      <c r="I139" s="574" t="s">
        <v>177</v>
      </c>
      <c r="J139" s="1734" t="s">
        <v>2011</v>
      </c>
      <c r="K139" s="575" t="s">
        <v>625</v>
      </c>
      <c r="L139" s="2569" t="s">
        <v>625</v>
      </c>
      <c r="M139" s="2518"/>
      <c r="N139" s="575" t="s">
        <v>625</v>
      </c>
      <c r="O139" s="575" t="s">
        <v>625</v>
      </c>
      <c r="P139" s="575" t="s">
        <v>625</v>
      </c>
      <c r="Q139" s="576">
        <f>SUM(Q140:Q142)</f>
        <v>0</v>
      </c>
      <c r="R139" s="576">
        <f>IF(R136=0,0,(Q136/R136)*100)</f>
        <v>0</v>
      </c>
      <c r="S139" s="2545"/>
      <c r="T139" s="654" t="s">
        <v>691</v>
      </c>
      <c r="U139" s="28"/>
      <c r="V139" s="28"/>
      <c r="AC139" s="28"/>
    </row>
    <row r="140" spans="1:83" s="1776" customFormat="1" ht="11.25" customHeight="1">
      <c r="A140" s="1733"/>
      <c r="B140" s="1087"/>
      <c r="C140" s="349"/>
      <c r="D140" s="28"/>
      <c r="E140" s="2819"/>
      <c r="F140" s="2472"/>
      <c r="G140" s="2821"/>
      <c r="H140" s="2461"/>
      <c r="I140" s="2751" t="s">
        <v>1100</v>
      </c>
      <c r="J140" s="2816"/>
      <c r="K140" s="2817"/>
      <c r="L140" s="577"/>
      <c r="M140" s="578" t="s">
        <v>177</v>
      </c>
      <c r="N140" s="1722"/>
      <c r="O140" s="579"/>
      <c r="P140" s="580"/>
      <c r="Q140" s="579"/>
      <c r="R140" s="581">
        <v>0</v>
      </c>
      <c r="S140" s="2545"/>
      <c r="T140" s="654"/>
      <c r="U140" s="28"/>
      <c r="V140" s="28"/>
      <c r="AC140" s="28"/>
    </row>
    <row r="141" spans="1:83" s="1776" customFormat="1" ht="11.25" customHeight="1">
      <c r="A141" s="1733"/>
      <c r="B141" s="1087"/>
      <c r="C141" s="349"/>
      <c r="D141" s="28"/>
      <c r="E141" s="2819"/>
      <c r="F141" s="2472"/>
      <c r="G141" s="2821"/>
      <c r="H141" s="2461"/>
      <c r="I141" s="2751"/>
      <c r="J141" s="2816"/>
      <c r="K141" s="2812"/>
      <c r="L141" s="582"/>
      <c r="M141" s="583"/>
      <c r="N141" s="584" t="s">
        <v>2012</v>
      </c>
      <c r="O141" s="584"/>
      <c r="P141" s="584"/>
      <c r="Q141" s="584"/>
      <c r="R141" s="585"/>
      <c r="S141" s="2545"/>
      <c r="T141" s="654"/>
      <c r="U141" s="28"/>
      <c r="V141" s="28"/>
      <c r="AC141" s="28"/>
    </row>
    <row r="142" spans="1:83" s="1776" customFormat="1" ht="11.25" customHeight="1">
      <c r="A142" s="1733"/>
      <c r="B142" s="1087"/>
      <c r="C142" s="349"/>
      <c r="D142" s="28"/>
      <c r="E142" s="2820"/>
      <c r="F142" s="2472"/>
      <c r="G142" s="2822"/>
      <c r="H142" s="582" t="s">
        <v>28</v>
      </c>
      <c r="I142" s="583"/>
      <c r="J142" s="584" t="s">
        <v>2013</v>
      </c>
      <c r="K142" s="584"/>
      <c r="L142" s="584"/>
      <c r="M142" s="584"/>
      <c r="N142" s="584"/>
      <c r="O142" s="584"/>
      <c r="P142" s="584"/>
      <c r="Q142" s="584"/>
      <c r="R142" s="585"/>
      <c r="S142" s="2545"/>
      <c r="T142" s="654"/>
      <c r="U142" s="28"/>
      <c r="V142" s="28"/>
      <c r="AC142" s="28"/>
    </row>
    <row r="147" spans="1:43" s="1776" customFormat="1" ht="11.25" customHeight="1">
      <c r="A147" s="1733"/>
      <c r="B147" s="1087"/>
      <c r="C147" s="349"/>
      <c r="D147" s="28"/>
      <c r="E147" s="1756"/>
      <c r="F147" s="1756"/>
      <c r="G147" s="1756"/>
      <c r="H147" s="2461"/>
      <c r="I147" s="2751" t="s">
        <v>1100</v>
      </c>
      <c r="J147" s="2816"/>
      <c r="K147" s="2817"/>
      <c r="L147" s="577"/>
      <c r="M147" s="578" t="s">
        <v>177</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461"/>
      <c r="I148" s="2751"/>
      <c r="J148" s="2816"/>
      <c r="K148" s="2812"/>
      <c r="L148" s="582"/>
      <c r="M148" s="583"/>
      <c r="N148" s="584" t="s">
        <v>2012</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177</v>
      </c>
      <c r="N150" s="1722"/>
      <c r="O150" s="579"/>
      <c r="P150" s="580"/>
      <c r="Q150" s="579"/>
      <c r="R150" s="581">
        <v>0</v>
      </c>
      <c r="S150" s="28"/>
      <c r="T150" s="654"/>
      <c r="U150" s="28"/>
      <c r="V150" s="28"/>
      <c r="AC150" s="28"/>
    </row>
    <row r="152" spans="1:43" s="1742" customFormat="1" ht="17.25" customHeight="1">
      <c r="A152" s="1742" t="s">
        <v>2014</v>
      </c>
    </row>
    <row r="153" spans="1:43" ht="17.25" customHeight="1">
      <c r="G153" s="1765"/>
      <c r="H153" s="1765"/>
      <c r="I153" s="1765"/>
      <c r="M153" s="1761"/>
    </row>
    <row r="154" spans="1:43" s="1779" customFormat="1" ht="17.25" customHeight="1">
      <c r="A154" s="1766"/>
      <c r="C154" s="1768"/>
      <c r="D154" s="2527"/>
      <c r="E154" s="2483"/>
      <c r="F154" s="2496"/>
      <c r="G154" s="2521"/>
      <c r="H154" s="2527"/>
      <c r="I154" s="2527">
        <v>1</v>
      </c>
      <c r="J154" s="2528"/>
      <c r="K154" s="2531" t="s">
        <v>66</v>
      </c>
      <c r="L154" s="2472"/>
      <c r="M154" s="2472" t="s">
        <v>177</v>
      </c>
      <c r="N154" s="2524" t="str">
        <f>IF(Z154="","",INDEX(TERRITORY_MR_LIST,MATCH(Z154,TERRITORY_LIST_ID,0)))</f>
        <v/>
      </c>
      <c r="O154" s="2531" t="s">
        <v>66</v>
      </c>
      <c r="P154" s="2472"/>
      <c r="Q154" s="2472" t="s">
        <v>177</v>
      </c>
      <c r="R154" s="2812" t="s">
        <v>28</v>
      </c>
      <c r="S154" s="2471" t="s">
        <v>66</v>
      </c>
      <c r="T154" s="1738"/>
      <c r="U154" s="1738" t="s">
        <v>177</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527"/>
      <c r="E155" s="2483"/>
      <c r="F155" s="2497"/>
      <c r="G155" s="2521"/>
      <c r="H155" s="2527"/>
      <c r="I155" s="2527"/>
      <c r="J155" s="2528"/>
      <c r="K155" s="2532"/>
      <c r="L155" s="2472"/>
      <c r="M155" s="2472"/>
      <c r="N155" s="2524"/>
      <c r="O155" s="2532"/>
      <c r="P155" s="2472"/>
      <c r="Q155" s="2472"/>
      <c r="R155" s="2812"/>
      <c r="S155" s="2471"/>
      <c r="T155" s="254"/>
      <c r="U155" s="255"/>
      <c r="V155" s="255" t="s">
        <v>494</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495"/>
      <c r="E156" s="2484"/>
      <c r="F156" s="2497"/>
      <c r="G156" s="2522"/>
      <c r="H156" s="2495"/>
      <c r="I156" s="2495"/>
      <c r="J156" s="2529"/>
      <c r="K156" s="2532"/>
      <c r="L156" s="2495"/>
      <c r="M156" s="2495"/>
      <c r="N156" s="2525"/>
      <c r="O156" s="2476"/>
      <c r="P156" s="254"/>
      <c r="Q156" s="255"/>
      <c r="R156" s="255" t="s">
        <v>295</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495"/>
      <c r="E157" s="2484"/>
      <c r="F157" s="2497"/>
      <c r="G157" s="2522"/>
      <c r="H157" s="2495"/>
      <c r="I157" s="2495"/>
      <c r="J157" s="2529"/>
      <c r="K157" s="2476"/>
      <c r="L157" s="254"/>
      <c r="M157" s="255"/>
      <c r="N157" s="255" t="s">
        <v>299</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495"/>
      <c r="E158" s="2484"/>
      <c r="F158" s="2498"/>
      <c r="G158" s="2522"/>
      <c r="H158" s="254"/>
      <c r="I158" s="255"/>
      <c r="J158" s="255" t="s">
        <v>300</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527"/>
      <c r="I160" s="2527">
        <v>1</v>
      </c>
      <c r="J160" s="2528"/>
      <c r="K160" s="2531" t="s">
        <v>66</v>
      </c>
      <c r="L160" s="2472"/>
      <c r="M160" s="2472" t="s">
        <v>177</v>
      </c>
      <c r="N160" s="2524" t="str">
        <f>IF(Z160="","",INDEX(TERRITORY_MR_LIST,MATCH(Z160,TERRITORY_LIST_ID,0)))</f>
        <v/>
      </c>
      <c r="O160" s="2531" t="s">
        <v>66</v>
      </c>
      <c r="P160" s="2472"/>
      <c r="Q160" s="2472" t="s">
        <v>177</v>
      </c>
      <c r="R160" s="2812" t="s">
        <v>28</v>
      </c>
      <c r="S160" s="2471" t="s">
        <v>66</v>
      </c>
      <c r="T160" s="1738"/>
      <c r="U160" s="1738" t="s">
        <v>177</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527"/>
      <c r="I161" s="2527"/>
      <c r="J161" s="2528"/>
      <c r="K161" s="2532"/>
      <c r="L161" s="2472"/>
      <c r="M161" s="2472"/>
      <c r="N161" s="2524"/>
      <c r="O161" s="2532"/>
      <c r="P161" s="2472"/>
      <c r="Q161" s="2472"/>
      <c r="R161" s="2812"/>
      <c r="S161" s="2471"/>
      <c r="T161" s="254"/>
      <c r="U161" s="255"/>
      <c r="V161" s="255" t="s">
        <v>494</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495"/>
      <c r="I162" s="2495"/>
      <c r="J162" s="2529"/>
      <c r="K162" s="2532"/>
      <c r="L162" s="2495"/>
      <c r="M162" s="2495"/>
      <c r="N162" s="2525"/>
      <c r="O162" s="2476"/>
      <c r="P162" s="254"/>
      <c r="Q162" s="255"/>
      <c r="R162" s="255" t="s">
        <v>295</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495"/>
      <c r="I163" s="2495"/>
      <c r="J163" s="2529"/>
      <c r="K163" s="2476"/>
      <c r="L163" s="254"/>
      <c r="M163" s="255"/>
      <c r="N163" s="255" t="s">
        <v>299</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472"/>
      <c r="M165" s="2472" t="s">
        <v>177</v>
      </c>
      <c r="N165" s="2524" t="str">
        <f>IF(Z165="","",INDEX(TERRITORY_MR_LIST,MATCH(Z165,TERRITORY_LIST_ID,0)))</f>
        <v/>
      </c>
      <c r="O165" s="2531" t="s">
        <v>66</v>
      </c>
      <c r="P165" s="2472"/>
      <c r="Q165" s="2472" t="s">
        <v>177</v>
      </c>
      <c r="R165" s="2812" t="s">
        <v>28</v>
      </c>
      <c r="S165" s="2471" t="s">
        <v>66</v>
      </c>
      <c r="T165" s="1738"/>
      <c r="U165" s="1738" t="s">
        <v>177</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472"/>
      <c r="M166" s="2472"/>
      <c r="N166" s="2524"/>
      <c r="O166" s="2532"/>
      <c r="P166" s="2472"/>
      <c r="Q166" s="2472"/>
      <c r="R166" s="2812"/>
      <c r="S166" s="2471"/>
      <c r="T166" s="254"/>
      <c r="U166" s="255"/>
      <c r="V166" s="255" t="s">
        <v>494</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495"/>
      <c r="M167" s="2495"/>
      <c r="N167" s="2525"/>
      <c r="O167" s="2476"/>
      <c r="P167" s="254"/>
      <c r="Q167" s="255"/>
      <c r="R167" s="255" t="s">
        <v>295</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472"/>
      <c r="Q169" s="2472" t="s">
        <v>177</v>
      </c>
      <c r="R169" s="2812" t="s">
        <v>28</v>
      </c>
      <c r="S169" s="2471" t="s">
        <v>66</v>
      </c>
      <c r="T169" s="1738"/>
      <c r="U169" s="1738" t="s">
        <v>177</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472"/>
      <c r="Q170" s="2472"/>
      <c r="R170" s="2812"/>
      <c r="S170" s="2471"/>
      <c r="T170" s="254"/>
      <c r="U170" s="255"/>
      <c r="V170" s="255" t="s">
        <v>494</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177</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2015</v>
      </c>
    </row>
    <row r="175" spans="1:43" ht="17.25" customHeight="1">
      <c r="G175" s="1765"/>
      <c r="H175" s="1765"/>
      <c r="I175" s="1765"/>
      <c r="M175" s="1761"/>
    </row>
    <row r="176" spans="1:43" s="1779" customFormat="1" ht="17.25" customHeight="1">
      <c r="A176" s="1766"/>
      <c r="C176" s="1768"/>
      <c r="D176" s="2527"/>
      <c r="E176" s="2483"/>
      <c r="F176" s="2496"/>
      <c r="G176" s="2521"/>
      <c r="H176" s="2527"/>
      <c r="I176" s="2527">
        <v>1</v>
      </c>
      <c r="J176" s="2528"/>
      <c r="K176" s="2531" t="s">
        <v>66</v>
      </c>
      <c r="L176" s="2472"/>
      <c r="M176" s="2472" t="s">
        <v>177</v>
      </c>
      <c r="N176" s="2524" t="str">
        <f>IF(Z176="","",INDEX(TERRITORY_MR_LIST,MATCH(Z176,TERRITORY_LIST_ID,0)))</f>
        <v/>
      </c>
      <c r="O176" s="2531" t="s">
        <v>66</v>
      </c>
      <c r="P176" s="2472"/>
      <c r="Q176" s="2472" t="s">
        <v>177</v>
      </c>
      <c r="R176" s="2812" t="s">
        <v>28</v>
      </c>
      <c r="S176" s="2526" t="s">
        <v>19</v>
      </c>
      <c r="T176" s="1729"/>
      <c r="U176" s="1729" t="s">
        <v>177</v>
      </c>
      <c r="V176" s="1361"/>
      <c r="W176" s="2528"/>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527"/>
      <c r="E177" s="2483"/>
      <c r="F177" s="2497"/>
      <c r="G177" s="2521"/>
      <c r="H177" s="2527"/>
      <c r="I177" s="2527"/>
      <c r="J177" s="2528"/>
      <c r="K177" s="2532"/>
      <c r="L177" s="2472"/>
      <c r="M177" s="2472"/>
      <c r="N177" s="2524"/>
      <c r="O177" s="2532"/>
      <c r="P177" s="2472"/>
      <c r="Q177" s="2472"/>
      <c r="R177" s="2812"/>
      <c r="S177" s="2526"/>
      <c r="T177" s="1362"/>
      <c r="U177" s="1363"/>
      <c r="V177" s="1363"/>
      <c r="W177" s="2528"/>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495"/>
      <c r="E178" s="2484"/>
      <c r="F178" s="2497"/>
      <c r="G178" s="2522"/>
      <c r="H178" s="2495"/>
      <c r="I178" s="2495"/>
      <c r="J178" s="2529"/>
      <c r="K178" s="2532"/>
      <c r="L178" s="2495"/>
      <c r="M178" s="2495"/>
      <c r="N178" s="2525"/>
      <c r="O178" s="2476"/>
      <c r="P178" s="254"/>
      <c r="Q178" s="255"/>
      <c r="R178" s="255" t="s">
        <v>295</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495"/>
      <c r="E179" s="2484"/>
      <c r="F179" s="2497"/>
      <c r="G179" s="2522"/>
      <c r="H179" s="2495"/>
      <c r="I179" s="2495"/>
      <c r="J179" s="2529"/>
      <c r="K179" s="2476"/>
      <c r="L179" s="254"/>
      <c r="M179" s="255"/>
      <c r="N179" s="255" t="s">
        <v>299</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495"/>
      <c r="E180" s="2484"/>
      <c r="F180" s="2498"/>
      <c r="G180" s="2522"/>
      <c r="H180" s="254"/>
      <c r="I180" s="255"/>
      <c r="J180" s="255" t="s">
        <v>300</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527"/>
      <c r="I182" s="2527">
        <v>1</v>
      </c>
      <c r="J182" s="2528"/>
      <c r="K182" s="2531" t="s">
        <v>66</v>
      </c>
      <c r="L182" s="2472"/>
      <c r="M182" s="2472" t="s">
        <v>177</v>
      </c>
      <c r="N182" s="2524" t="str">
        <f>IF(Z182="","",INDEX(TERRITORY_MR_LIST,MATCH(Z182,TERRITORY_LIST_ID,0)))</f>
        <v/>
      </c>
      <c r="O182" s="2531" t="s">
        <v>66</v>
      </c>
      <c r="P182" s="2472"/>
      <c r="Q182" s="2472" t="s">
        <v>177</v>
      </c>
      <c r="R182" s="2812" t="s">
        <v>28</v>
      </c>
      <c r="S182" s="2526" t="s">
        <v>19</v>
      </c>
      <c r="T182" s="1729"/>
      <c r="U182" s="1729" t="s">
        <v>177</v>
      </c>
      <c r="V182" s="1361"/>
      <c r="W182" s="2528"/>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527"/>
      <c r="I183" s="2527"/>
      <c r="J183" s="2528"/>
      <c r="K183" s="2532"/>
      <c r="L183" s="2472"/>
      <c r="M183" s="2472"/>
      <c r="N183" s="2524"/>
      <c r="O183" s="2532"/>
      <c r="P183" s="2472"/>
      <c r="Q183" s="2472"/>
      <c r="R183" s="2812"/>
      <c r="S183" s="2526"/>
      <c r="T183" s="1362"/>
      <c r="U183" s="1363"/>
      <c r="V183" s="1363"/>
      <c r="W183" s="2528"/>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495"/>
      <c r="I184" s="2495"/>
      <c r="J184" s="2529"/>
      <c r="K184" s="2532"/>
      <c r="L184" s="2495"/>
      <c r="M184" s="2495"/>
      <c r="N184" s="2525"/>
      <c r="O184" s="2476"/>
      <c r="P184" s="254"/>
      <c r="Q184" s="255"/>
      <c r="R184" s="255" t="s">
        <v>295</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495"/>
      <c r="I185" s="2495"/>
      <c r="J185" s="2529"/>
      <c r="K185" s="2476"/>
      <c r="L185" s="254"/>
      <c r="M185" s="255"/>
      <c r="N185" s="255" t="s">
        <v>299</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472"/>
      <c r="M187" s="2472" t="s">
        <v>177</v>
      </c>
      <c r="N187" s="2524" t="str">
        <f>IF(Z187="","",INDEX(TERRITORY_MR_LIST,MATCH(Z187,TERRITORY_LIST_ID,0)))</f>
        <v/>
      </c>
      <c r="O187" s="2531" t="s">
        <v>66</v>
      </c>
      <c r="P187" s="2472"/>
      <c r="Q187" s="2472" t="s">
        <v>177</v>
      </c>
      <c r="R187" s="2812" t="s">
        <v>28</v>
      </c>
      <c r="S187" s="2526" t="s">
        <v>19</v>
      </c>
      <c r="T187" s="1729"/>
      <c r="U187" s="1729" t="s">
        <v>177</v>
      </c>
      <c r="V187" s="1361"/>
      <c r="W187" s="2528"/>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472"/>
      <c r="M188" s="2472"/>
      <c r="N188" s="2524"/>
      <c r="O188" s="2532"/>
      <c r="P188" s="2472"/>
      <c r="Q188" s="2472"/>
      <c r="R188" s="2812"/>
      <c r="S188" s="2526"/>
      <c r="T188" s="1362"/>
      <c r="U188" s="1363"/>
      <c r="V188" s="1363"/>
      <c r="W188" s="2528"/>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495"/>
      <c r="M189" s="2495"/>
      <c r="N189" s="2525"/>
      <c r="O189" s="2476"/>
      <c r="P189" s="254"/>
      <c r="Q189" s="255"/>
      <c r="R189" s="255" t="s">
        <v>295</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472"/>
      <c r="Q191" s="2472" t="s">
        <v>177</v>
      </c>
      <c r="R191" s="2812" t="s">
        <v>28</v>
      </c>
      <c r="S191" s="2526" t="s">
        <v>19</v>
      </c>
      <c r="T191" s="1729"/>
      <c r="U191" s="1729" t="s">
        <v>177</v>
      </c>
      <c r="V191" s="1361"/>
      <c r="W191" s="2528"/>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472"/>
      <c r="Q192" s="2472"/>
      <c r="R192" s="2812"/>
      <c r="S192" s="2526"/>
      <c r="T192" s="1362"/>
      <c r="U192" s="1363"/>
      <c r="V192" s="1363"/>
      <c r="W192" s="252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527"/>
      <c r="E194" s="2545"/>
      <c r="F194" s="2545"/>
      <c r="G194" s="2461"/>
      <c r="H194" s="2485"/>
      <c r="I194" s="2487"/>
      <c r="J194" s="2489"/>
      <c r="K194" s="2481"/>
      <c r="L194" s="2481"/>
      <c r="M194" s="2481"/>
      <c r="N194" s="2492"/>
      <c r="O194" s="2481"/>
      <c r="P194" s="2481"/>
      <c r="Q194" s="2481"/>
      <c r="R194" s="2479"/>
      <c r="S194" s="2481"/>
      <c r="T194" s="1710"/>
      <c r="U194" s="1710"/>
      <c r="V194" s="1778"/>
      <c r="W194" s="1223"/>
    </row>
    <row r="195" spans="1:63" ht="16.5" customHeight="1">
      <c r="A195" s="1766"/>
      <c r="B195" s="1767"/>
      <c r="C195" s="1771"/>
      <c r="D195" s="2527"/>
      <c r="E195" s="2545"/>
      <c r="F195" s="2545"/>
      <c r="G195" s="2461"/>
      <c r="H195" s="2486"/>
      <c r="I195" s="2488"/>
      <c r="J195" s="2490"/>
      <c r="K195" s="2482"/>
      <c r="L195" s="2482"/>
      <c r="M195" s="2482"/>
      <c r="N195" s="2493"/>
      <c r="O195" s="2482"/>
      <c r="P195" s="2482"/>
      <c r="Q195" s="2482"/>
      <c r="R195" s="2480"/>
      <c r="S195" s="2482"/>
      <c r="T195" s="1224"/>
      <c r="U195" s="1224"/>
      <c r="V195" s="1224"/>
      <c r="W195" s="1225"/>
    </row>
    <row r="196" spans="1:63" ht="17.25" customHeight="1">
      <c r="A196" s="1766"/>
      <c r="B196" s="1767"/>
      <c r="C196" s="1771"/>
      <c r="D196" s="2527"/>
      <c r="E196" s="2545"/>
      <c r="F196" s="2545"/>
      <c r="G196" s="2461"/>
      <c r="H196" s="2486"/>
      <c r="I196" s="2488"/>
      <c r="J196" s="2491"/>
      <c r="K196" s="2482"/>
      <c r="L196" s="2482"/>
      <c r="M196" s="2482"/>
      <c r="N196" s="2480"/>
      <c r="O196" s="2482"/>
      <c r="P196" s="1713"/>
      <c r="Q196" s="1224"/>
      <c r="R196" s="1224"/>
      <c r="S196" s="1779"/>
      <c r="T196" s="1779"/>
      <c r="U196" s="1779"/>
      <c r="V196" s="1779"/>
      <c r="W196" s="1225"/>
    </row>
    <row r="197" spans="1:63" ht="17.25" customHeight="1">
      <c r="A197" s="1766"/>
      <c r="B197" s="1767"/>
      <c r="C197" s="1771"/>
      <c r="D197" s="2527"/>
      <c r="E197" s="2545"/>
      <c r="F197" s="2545"/>
      <c r="G197" s="2461"/>
      <c r="H197" s="2486"/>
      <c r="I197" s="2488"/>
      <c r="J197" s="2491"/>
      <c r="K197" s="2482"/>
      <c r="L197" s="1224"/>
      <c r="M197" s="1224"/>
      <c r="N197" s="1224"/>
      <c r="O197" s="1224"/>
      <c r="P197" s="1224"/>
      <c r="Q197" s="1224"/>
      <c r="R197" s="1224"/>
      <c r="S197" s="1779"/>
      <c r="T197" s="1779"/>
      <c r="U197" s="1779"/>
      <c r="V197" s="1779"/>
      <c r="W197" s="1225"/>
    </row>
    <row r="198" spans="1:63" ht="17.25" customHeight="1">
      <c r="A198" s="1766"/>
      <c r="B198" s="1767"/>
      <c r="C198" s="1771"/>
      <c r="D198" s="2527"/>
      <c r="E198" s="2545"/>
      <c r="F198" s="2545"/>
      <c r="G198" s="2461"/>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2016</v>
      </c>
    </row>
    <row r="201" spans="1:63" ht="17.25" customHeight="1">
      <c r="G201" s="1765"/>
      <c r="H201" s="1765"/>
      <c r="I201" s="1765"/>
      <c r="M201" s="1761"/>
    </row>
    <row r="202" spans="1:63" s="1776" customFormat="1" ht="15" customHeight="1">
      <c r="D202" s="2845"/>
      <c r="E202" s="2540"/>
      <c r="F202" s="2540"/>
      <c r="G202" s="2531"/>
      <c r="H202" s="1491"/>
      <c r="I202" s="2846">
        <v>1</v>
      </c>
      <c r="J202" s="2528"/>
      <c r="K202" s="1506"/>
      <c r="L202" s="2531" t="s">
        <v>66</v>
      </c>
      <c r="M202" s="2531" t="s">
        <v>66</v>
      </c>
      <c r="N202" s="1491"/>
      <c r="O202" s="2472" t="s">
        <v>177</v>
      </c>
      <c r="P202" s="2852"/>
      <c r="Q202" s="1507"/>
      <c r="R202" s="2531" t="s">
        <v>66</v>
      </c>
      <c r="S202" s="2531" t="s">
        <v>66</v>
      </c>
      <c r="T202" s="1781"/>
      <c r="U202" s="2472" t="s">
        <v>177</v>
      </c>
      <c r="V202" s="2842" t="str">
        <f>IF(AK202="","",INDEX(TERRITORY_MR_LIST,MATCH(AK202,TERRITORY_LIST_ID,0)))</f>
        <v/>
      </c>
      <c r="W202" s="1508"/>
      <c r="X202" s="2531" t="s">
        <v>66</v>
      </c>
      <c r="Y202" s="2531" t="s">
        <v>19</v>
      </c>
      <c r="Z202" s="1491"/>
      <c r="AA202" s="2472" t="s">
        <v>177</v>
      </c>
      <c r="AB202" s="2844"/>
      <c r="AC202" s="1509"/>
      <c r="AD202" s="2531" t="s">
        <v>66</v>
      </c>
      <c r="AE202" s="2531" t="s">
        <v>19</v>
      </c>
      <c r="AF202" s="1489"/>
      <c r="AG202" s="1738" t="s">
        <v>177</v>
      </c>
      <c r="AH202" s="1499"/>
      <c r="AI202" s="1728"/>
    </row>
    <row r="203" spans="1:63" s="1776" customFormat="1" ht="15" customHeight="1">
      <c r="D203" s="2845"/>
      <c r="E203" s="2540"/>
      <c r="F203" s="2540"/>
      <c r="G203" s="2532"/>
      <c r="H203" s="1491"/>
      <c r="I203" s="2846"/>
      <c r="J203" s="2528"/>
      <c r="K203" s="1490"/>
      <c r="L203" s="2532"/>
      <c r="M203" s="2532"/>
      <c r="N203" s="1491"/>
      <c r="O203" s="2472"/>
      <c r="P203" s="2852"/>
      <c r="Q203" s="1487"/>
      <c r="R203" s="2532"/>
      <c r="S203" s="2532"/>
      <c r="T203" s="1781"/>
      <c r="U203" s="2472"/>
      <c r="V203" s="2843"/>
      <c r="W203" s="1488"/>
      <c r="X203" s="2532"/>
      <c r="Y203" s="2532"/>
      <c r="Z203" s="1491"/>
      <c r="AA203" s="2472"/>
      <c r="AB203" s="2781"/>
      <c r="AC203" s="1492"/>
      <c r="AD203" s="2476"/>
      <c r="AE203" s="2476"/>
      <c r="AF203" s="1493"/>
      <c r="AG203" s="1494"/>
      <c r="AH203" s="2848" t="s">
        <v>2017</v>
      </c>
      <c r="AI203" s="2849"/>
    </row>
    <row r="204" spans="1:63" s="1776" customFormat="1" ht="15" customHeight="1">
      <c r="D204" s="2845"/>
      <c r="E204" s="2540"/>
      <c r="F204" s="2540"/>
      <c r="G204" s="2532"/>
      <c r="H204" s="1491"/>
      <c r="I204" s="2846"/>
      <c r="J204" s="2528"/>
      <c r="K204" s="1490"/>
      <c r="L204" s="2532"/>
      <c r="M204" s="2532"/>
      <c r="N204" s="1491"/>
      <c r="O204" s="2472"/>
      <c r="P204" s="2852"/>
      <c r="Q204" s="1487"/>
      <c r="R204" s="2532"/>
      <c r="S204" s="2532"/>
      <c r="T204" s="1781"/>
      <c r="U204" s="2472"/>
      <c r="V204" s="2843"/>
      <c r="W204" s="1488"/>
      <c r="X204" s="2532"/>
      <c r="Y204" s="2532"/>
      <c r="Z204" s="1530"/>
      <c r="AA204" s="1496"/>
      <c r="AB204" s="2850" t="s">
        <v>2018</v>
      </c>
      <c r="AC204" s="2850"/>
      <c r="AD204" s="2850"/>
      <c r="AE204" s="2850"/>
      <c r="AF204" s="2850"/>
      <c r="AG204" s="2850"/>
      <c r="AH204" s="2850"/>
      <c r="AI204" s="2851"/>
    </row>
    <row r="205" spans="1:63" s="1776" customFormat="1" ht="15" customHeight="1">
      <c r="D205" s="2845"/>
      <c r="E205" s="2540"/>
      <c r="F205" s="2540"/>
      <c r="G205" s="2532"/>
      <c r="H205" s="1491"/>
      <c r="I205" s="2846"/>
      <c r="J205" s="2528"/>
      <c r="K205" s="1490"/>
      <c r="L205" s="2532"/>
      <c r="M205" s="2532"/>
      <c r="N205" s="1491"/>
      <c r="O205" s="2472"/>
      <c r="P205" s="2853"/>
      <c r="Q205" s="1487"/>
      <c r="R205" s="2532"/>
      <c r="S205" s="2532"/>
      <c r="T205" s="1782"/>
      <c r="U205" s="1531"/>
      <c r="V205" s="2848" t="s">
        <v>171</v>
      </c>
      <c r="W205" s="2848"/>
      <c r="X205" s="2848"/>
      <c r="Y205" s="2848"/>
      <c r="Z205" s="2848"/>
      <c r="AA205" s="2848"/>
      <c r="AB205" s="2848"/>
      <c r="AC205" s="2848"/>
      <c r="AD205" s="2848"/>
      <c r="AE205" s="2848"/>
      <c r="AF205" s="2848"/>
      <c r="AG205" s="2848"/>
      <c r="AH205" s="2848"/>
      <c r="AI205" s="2849"/>
    </row>
    <row r="206" spans="1:63" s="1776" customFormat="1" ht="11.25" customHeight="1">
      <c r="D206" s="2845"/>
      <c r="E206" s="2540"/>
      <c r="F206" s="2540"/>
      <c r="G206" s="2532"/>
      <c r="H206" s="1495"/>
      <c r="I206" s="2846"/>
      <c r="J206" s="2847"/>
      <c r="K206" s="1490"/>
      <c r="L206" s="2532"/>
      <c r="M206" s="2532"/>
      <c r="N206" s="1495"/>
      <c r="O206" s="1496"/>
      <c r="P206" s="2848" t="s">
        <v>2019</v>
      </c>
      <c r="Q206" s="2848"/>
      <c r="R206" s="2848"/>
      <c r="S206" s="2848"/>
      <c r="T206" s="2848"/>
      <c r="U206" s="2848"/>
      <c r="V206" s="2848"/>
      <c r="W206" s="2848"/>
      <c r="X206" s="2848"/>
      <c r="Y206" s="2848"/>
      <c r="Z206" s="2848"/>
      <c r="AA206" s="2848"/>
      <c r="AB206" s="2848"/>
      <c r="AC206" s="2848"/>
      <c r="AD206" s="2848"/>
      <c r="AE206" s="2848"/>
      <c r="AF206" s="2848"/>
      <c r="AG206" s="2848"/>
      <c r="AH206" s="2848"/>
      <c r="AI206" s="2849"/>
    </row>
    <row r="207" spans="1:63" s="1481" customFormat="1" ht="11.25" customHeight="1">
      <c r="D207" s="2845"/>
      <c r="E207" s="2540"/>
      <c r="F207" s="2540"/>
      <c r="G207" s="2476"/>
      <c r="H207" s="1497"/>
      <c r="I207" s="1498"/>
      <c r="J207" s="2848" t="s">
        <v>300</v>
      </c>
      <c r="K207" s="2848"/>
      <c r="L207" s="2848"/>
      <c r="M207" s="2848"/>
      <c r="N207" s="2848"/>
      <c r="O207" s="2848"/>
      <c r="P207" s="2848"/>
      <c r="Q207" s="2848"/>
      <c r="R207" s="2848"/>
      <c r="S207" s="2848"/>
      <c r="T207" s="2848"/>
      <c r="U207" s="2848"/>
      <c r="V207" s="2848"/>
      <c r="W207" s="2848"/>
      <c r="X207" s="2848"/>
      <c r="Y207" s="2848"/>
      <c r="Z207" s="2848"/>
      <c r="AA207" s="2848"/>
      <c r="AB207" s="2848"/>
      <c r="AC207" s="2848"/>
      <c r="AD207" s="2848"/>
      <c r="AE207" s="2848"/>
      <c r="AF207" s="2848"/>
      <c r="AG207" s="2848"/>
      <c r="AH207" s="2848"/>
      <c r="AI207" s="2849"/>
      <c r="BK207" s="1501"/>
    </row>
    <row r="208" spans="1:63" ht="17.25" customHeight="1">
      <c r="G208" s="1765"/>
      <c r="I208" s="1765"/>
      <c r="J208" s="1765"/>
      <c r="N208" s="1761"/>
    </row>
    <row r="209" spans="4:63" s="1776" customFormat="1" ht="15" customHeight="1">
      <c r="D209" s="2845"/>
      <c r="E209" s="2540"/>
      <c r="F209" s="2540"/>
      <c r="G209" s="2545"/>
      <c r="H209" s="1526"/>
      <c r="I209" s="2548"/>
      <c r="J209" s="2489"/>
      <c r="K209" s="1712"/>
      <c r="L209" s="2481"/>
      <c r="M209" s="2481"/>
      <c r="N209" s="1511"/>
      <c r="O209" s="2481"/>
      <c r="P209" s="2489"/>
      <c r="Q209" s="1716"/>
      <c r="R209" s="2481"/>
      <c r="S209" s="2481"/>
      <c r="T209" s="1783"/>
      <c r="U209" s="2481"/>
      <c r="V209" s="2489"/>
      <c r="W209" s="1514"/>
      <c r="X209" s="2481"/>
      <c r="Y209" s="2481"/>
      <c r="Z209" s="1511"/>
      <c r="AA209" s="2481"/>
      <c r="AB209" s="2489"/>
      <c r="AC209" s="1515"/>
      <c r="AD209" s="2481"/>
      <c r="AE209" s="2481"/>
      <c r="AF209" s="1710"/>
      <c r="AG209" s="1710"/>
      <c r="AH209" s="1516"/>
      <c r="AI209" s="1223"/>
    </row>
    <row r="210" spans="4:63" s="1776" customFormat="1" ht="15" customHeight="1">
      <c r="D210" s="2845"/>
      <c r="E210" s="2540"/>
      <c r="F210" s="2540"/>
      <c r="G210" s="2545"/>
      <c r="H210" s="1527"/>
      <c r="I210" s="2549"/>
      <c r="J210" s="2490"/>
      <c r="K210" s="1537"/>
      <c r="L210" s="2482"/>
      <c r="M210" s="2482"/>
      <c r="N210" s="1517"/>
      <c r="O210" s="2482"/>
      <c r="P210" s="2490"/>
      <c r="Q210" s="1717"/>
      <c r="R210" s="2482"/>
      <c r="S210" s="2482"/>
      <c r="T210" s="1784"/>
      <c r="U210" s="2482"/>
      <c r="V210" s="2490"/>
      <c r="W210" s="1520"/>
      <c r="X210" s="2482"/>
      <c r="Y210" s="2482"/>
      <c r="Z210" s="1517"/>
      <c r="AA210" s="2482"/>
      <c r="AB210" s="2490"/>
      <c r="AC210" s="1521"/>
      <c r="AD210" s="2482"/>
      <c r="AE210" s="2482"/>
      <c r="AF210" s="1715"/>
      <c r="AG210" s="1715"/>
      <c r="AH210" s="2552"/>
      <c r="AI210" s="2553"/>
    </row>
    <row r="211" spans="4:63" s="1776" customFormat="1" ht="15" customHeight="1">
      <c r="D211" s="2845"/>
      <c r="E211" s="2540"/>
      <c r="F211" s="2540"/>
      <c r="G211" s="2545"/>
      <c r="H211" s="1527"/>
      <c r="I211" s="2549"/>
      <c r="J211" s="2490"/>
      <c r="K211" s="1537"/>
      <c r="L211" s="2482"/>
      <c r="M211" s="2482"/>
      <c r="N211" s="1517"/>
      <c r="O211" s="2482"/>
      <c r="P211" s="2490"/>
      <c r="Q211" s="1717"/>
      <c r="R211" s="2482"/>
      <c r="S211" s="2482"/>
      <c r="T211" s="1784"/>
      <c r="U211" s="2482"/>
      <c r="V211" s="2490"/>
      <c r="W211" s="1520"/>
      <c r="X211" s="2482"/>
      <c r="Y211" s="2482"/>
      <c r="Z211" s="1713"/>
      <c r="AA211" s="1715"/>
      <c r="AB211" s="2552"/>
      <c r="AC211" s="2552"/>
      <c r="AD211" s="2552"/>
      <c r="AE211" s="2552"/>
      <c r="AF211" s="2552"/>
      <c r="AG211" s="2552"/>
      <c r="AH211" s="2552"/>
      <c r="AI211" s="2553"/>
    </row>
    <row r="212" spans="4:63" s="1776" customFormat="1" ht="15" customHeight="1">
      <c r="D212" s="2845"/>
      <c r="E212" s="2540"/>
      <c r="F212" s="2540"/>
      <c r="G212" s="2545"/>
      <c r="H212" s="1527"/>
      <c r="I212" s="2549"/>
      <c r="J212" s="2490"/>
      <c r="K212" s="1537"/>
      <c r="L212" s="2482"/>
      <c r="M212" s="2482"/>
      <c r="N212" s="1517"/>
      <c r="O212" s="2482"/>
      <c r="P212" s="2490"/>
      <c r="Q212" s="1717"/>
      <c r="R212" s="2482"/>
      <c r="S212" s="2482"/>
      <c r="T212" s="1785"/>
      <c r="U212" s="1524"/>
      <c r="V212" s="2552"/>
      <c r="W212" s="2552"/>
      <c r="X212" s="2552"/>
      <c r="Y212" s="2552"/>
      <c r="Z212" s="2552"/>
      <c r="AA212" s="2552"/>
      <c r="AB212" s="2552"/>
      <c r="AC212" s="2552"/>
      <c r="AD212" s="2552"/>
      <c r="AE212" s="2552"/>
      <c r="AF212" s="2552"/>
      <c r="AG212" s="2552"/>
      <c r="AH212" s="2552"/>
      <c r="AI212" s="2553"/>
    </row>
    <row r="213" spans="4:63" s="1776" customFormat="1" ht="11.25" customHeight="1">
      <c r="D213" s="2845"/>
      <c r="E213" s="2540"/>
      <c r="F213" s="2540"/>
      <c r="G213" s="2545"/>
      <c r="H213" s="1528"/>
      <c r="I213" s="2549"/>
      <c r="J213" s="2490"/>
      <c r="K213" s="1537"/>
      <c r="L213" s="2482"/>
      <c r="M213" s="2482"/>
      <c r="N213" s="1715"/>
      <c r="O213" s="1715"/>
      <c r="P213" s="2552"/>
      <c r="Q213" s="2552"/>
      <c r="R213" s="2552"/>
      <c r="S213" s="2552"/>
      <c r="T213" s="2552"/>
      <c r="U213" s="2552"/>
      <c r="V213" s="2552"/>
      <c r="W213" s="2552"/>
      <c r="X213" s="2552"/>
      <c r="Y213" s="2552"/>
      <c r="Z213" s="2552"/>
      <c r="AA213" s="2552"/>
      <c r="AB213" s="2552"/>
      <c r="AC213" s="2552"/>
      <c r="AD213" s="2552"/>
      <c r="AE213" s="2552"/>
      <c r="AF213" s="2552"/>
      <c r="AG213" s="2552"/>
      <c r="AH213" s="2552"/>
      <c r="AI213" s="2553"/>
    </row>
    <row r="214" spans="4:63" s="1481" customFormat="1" ht="11.25" customHeight="1">
      <c r="D214" s="2845"/>
      <c r="E214" s="2540"/>
      <c r="F214" s="2540"/>
      <c r="G214" s="2554"/>
      <c r="H214" s="1525"/>
      <c r="I214" s="1529"/>
      <c r="J214" s="2550"/>
      <c r="K214" s="2550"/>
      <c r="L214" s="2550"/>
      <c r="M214" s="2550"/>
      <c r="N214" s="2550"/>
      <c r="O214" s="2550"/>
      <c r="P214" s="2550"/>
      <c r="Q214" s="2550"/>
      <c r="R214" s="2550"/>
      <c r="S214" s="2550"/>
      <c r="T214" s="2550"/>
      <c r="U214" s="2550"/>
      <c r="V214" s="2550"/>
      <c r="W214" s="2550"/>
      <c r="X214" s="2550"/>
      <c r="Y214" s="2550"/>
      <c r="Z214" s="2550"/>
      <c r="AA214" s="2550"/>
      <c r="AB214" s="2550"/>
      <c r="AC214" s="2550"/>
      <c r="AD214" s="2550"/>
      <c r="AE214" s="2550"/>
      <c r="AF214" s="2550"/>
      <c r="AG214" s="2550"/>
      <c r="AH214" s="2550"/>
      <c r="AI214" s="255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2020</v>
      </c>
      <c r="B1" s="777"/>
      <c r="C1" s="912" t="s">
        <v>2021</v>
      </c>
      <c r="D1" s="910" t="s">
        <v>886</v>
      </c>
      <c r="E1" s="910" t="s">
        <v>932</v>
      </c>
      <c r="F1" s="910" t="s">
        <v>985</v>
      </c>
      <c r="G1" s="910" t="s">
        <v>972</v>
      </c>
      <c r="H1" s="910" t="s">
        <v>1697</v>
      </c>
    </row>
    <row r="2" spans="1:8" ht="9" customHeight="1">
      <c r="A2" s="913" t="s">
        <v>2022</v>
      </c>
      <c r="B2" s="913"/>
      <c r="C2" s="914" t="str">
        <f>INDEX(TEMPLATE_NUMBER_FORM_LIST,MATCH(TEMPLATE_SPHERE,TEMPLATE_SPHERE_LIST,0))</f>
        <v>10</v>
      </c>
      <c r="D2" s="913" t="s">
        <v>1546</v>
      </c>
      <c r="E2" s="913" t="s">
        <v>215</v>
      </c>
      <c r="F2" s="915" t="s">
        <v>215</v>
      </c>
      <c r="G2" s="913" t="s">
        <v>215</v>
      </c>
      <c r="H2" s="916"/>
    </row>
    <row r="3" spans="1:8" ht="63" customHeight="1">
      <c r="A3" s="777"/>
      <c r="B3" s="777" t="s">
        <v>177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2023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2024</v>
      </c>
      <c r="B4" s="777" t="s">
        <v>102</v>
      </c>
      <c r="C4" s="914" t="str">
        <f>IF(TEMPLATE_SPHERE="HEAT",D4,IF(TEMPLATE_SPHERE="TKO",H4,E4))</f>
        <v>Форма 1. Информация об организации, осуществляющей холодное водоснабжение (общая информация)</v>
      </c>
      <c r="D4" s="913" t="s">
        <v>2025</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2026</v>
      </c>
    </row>
    <row r="5" spans="1:8" ht="117" customHeight="1">
      <c r="A5" s="777" t="s">
        <v>2027</v>
      </c>
      <c r="B5" s="777" t="s">
        <v>90</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2028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2029</v>
      </c>
    </row>
    <row r="6" spans="1:8" ht="90" customHeight="1">
      <c r="A6" s="777" t="s">
        <v>2030</v>
      </c>
      <c r="B6" s="777" t="s">
        <v>91</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2031</v>
      </c>
      <c r="B7" s="777" t="s">
        <v>127</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2032</v>
      </c>
      <c r="E7" s="777" t="s">
        <v>2033</v>
      </c>
      <c r="F7" s="916"/>
      <c r="G7" s="916"/>
      <c r="H7" s="916"/>
    </row>
    <row r="8" spans="1:8" ht="108" customHeight="1">
      <c r="A8" s="777" t="s">
        <v>2034</v>
      </c>
      <c r="B8" s="777" t="s">
        <v>92</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1233</v>
      </c>
      <c r="E8" s="777" t="s">
        <v>2035</v>
      </c>
      <c r="F8" s="916"/>
      <c r="G8" s="916"/>
      <c r="H8" s="916"/>
    </row>
    <row r="9" spans="1:8" ht="99" customHeight="1">
      <c r="A9" s="777" t="s">
        <v>2036</v>
      </c>
      <c r="B9" s="777"/>
      <c r="C9" s="777" t="s">
        <v>2037</v>
      </c>
      <c r="D9" s="777"/>
      <c r="E9" s="777"/>
      <c r="F9" s="916"/>
      <c r="G9" s="916"/>
      <c r="H9" s="916"/>
    </row>
    <row r="10" spans="1:8" ht="126" customHeight="1">
      <c r="A10" s="777" t="s">
        <v>2038</v>
      </c>
      <c r="B10" s="777"/>
      <c r="C10" s="777" t="s">
        <v>2039</v>
      </c>
      <c r="D10" s="777"/>
      <c r="E10" s="777"/>
      <c r="F10" s="916"/>
      <c r="G10" s="916"/>
      <c r="H10" s="916"/>
    </row>
    <row r="11" spans="1:8" ht="108" customHeight="1">
      <c r="A11" s="777" t="s">
        <v>2040</v>
      </c>
      <c r="B11" s="777"/>
      <c r="C11" s="777" t="s">
        <v>2041</v>
      </c>
      <c r="D11" s="777"/>
      <c r="E11" s="777"/>
      <c r="F11" s="916"/>
      <c r="G11" s="916"/>
      <c r="H11" s="916"/>
    </row>
    <row r="12" spans="1:8" ht="54" customHeight="1">
      <c r="A12" s="777" t="s">
        <v>2042</v>
      </c>
      <c r="B12" s="777"/>
      <c r="C12" s="777" t="s">
        <v>2043</v>
      </c>
      <c r="D12" s="777"/>
      <c r="E12" s="777"/>
      <c r="F12" s="916"/>
      <c r="G12" s="916"/>
      <c r="H12" s="916"/>
    </row>
    <row r="13" spans="1:8" ht="45" customHeight="1">
      <c r="A13" s="777" t="s">
        <v>2044</v>
      </c>
      <c r="B13" s="777"/>
      <c r="C13" s="777" t="s">
        <v>2045</v>
      </c>
      <c r="D13" s="777"/>
      <c r="E13" s="777"/>
      <c r="F13" s="916"/>
      <c r="G13" s="916"/>
      <c r="H13" s="916"/>
    </row>
    <row r="14" spans="1:8" ht="117" customHeight="1">
      <c r="A14" s="777" t="s">
        <v>2046</v>
      </c>
      <c r="B14" s="777"/>
      <c r="C14" s="777" t="s">
        <v>2047</v>
      </c>
      <c r="D14" s="777"/>
      <c r="E14" s="777"/>
      <c r="F14" s="916"/>
      <c r="G14" s="916"/>
      <c r="H14" s="916"/>
    </row>
    <row r="15" spans="1:8" ht="117" customHeight="1">
      <c r="A15" s="777" t="s">
        <v>2048</v>
      </c>
      <c r="B15" s="777"/>
      <c r="C15" s="777" t="s">
        <v>2049</v>
      </c>
      <c r="D15" s="777"/>
      <c r="E15" s="777"/>
      <c r="F15" s="916"/>
      <c r="G15" s="916"/>
      <c r="H15" s="916"/>
    </row>
    <row r="16" spans="1:8" ht="63" customHeight="1">
      <c r="A16" s="777" t="s">
        <v>2050</v>
      </c>
      <c r="B16" s="777"/>
      <c r="C16" s="777" t="s">
        <v>2051</v>
      </c>
      <c r="D16" s="777"/>
      <c r="E16" s="777"/>
      <c r="F16" s="916"/>
      <c r="G16" s="916"/>
      <c r="H16" s="916"/>
    </row>
    <row r="17" spans="1:8" ht="54" customHeight="1">
      <c r="A17" s="777" t="s">
        <v>2052</v>
      </c>
      <c r="B17" s="777"/>
      <c r="C17" s="914" t="s">
        <v>2053</v>
      </c>
      <c r="D17" s="777"/>
      <c r="E17" s="777"/>
      <c r="F17" s="916"/>
      <c r="G17" s="916"/>
      <c r="H17" s="916"/>
    </row>
    <row r="18" spans="1:8" ht="27" customHeight="1">
      <c r="A18" s="777" t="s">
        <v>2054</v>
      </c>
      <c r="B18" s="777"/>
      <c r="C18" s="914" t="s">
        <v>2055</v>
      </c>
      <c r="D18" s="777"/>
      <c r="E18" s="777"/>
      <c r="F18" s="916"/>
      <c r="G18" s="916"/>
      <c r="H18" s="916"/>
    </row>
    <row r="19" spans="1:8" ht="54" customHeight="1">
      <c r="A19" s="777" t="s">
        <v>2056</v>
      </c>
      <c r="B19" s="777"/>
      <c r="C19" s="914" t="s">
        <v>2057</v>
      </c>
      <c r="D19" s="777"/>
      <c r="E19" s="777"/>
      <c r="F19" s="916"/>
      <c r="G19" s="916"/>
      <c r="H19" s="916"/>
    </row>
    <row r="20" spans="1:8" ht="36" customHeight="1">
      <c r="A20" s="777" t="s">
        <v>2058</v>
      </c>
      <c r="B20" s="777"/>
      <c r="C20" s="914" t="s">
        <v>2059</v>
      </c>
      <c r="D20" s="777"/>
      <c r="E20" s="777"/>
      <c r="F20" s="916"/>
      <c r="G20" s="916"/>
      <c r="H20" s="916"/>
    </row>
    <row r="21" spans="1:8" ht="36" customHeight="1">
      <c r="A21" s="777" t="s">
        <v>2060</v>
      </c>
      <c r="B21" s="777"/>
      <c r="C21" s="914" t="s">
        <v>2061</v>
      </c>
      <c r="D21" s="777"/>
      <c r="E21" s="777"/>
      <c r="F21" s="916"/>
      <c r="G21" s="916"/>
      <c r="H21" s="916"/>
    </row>
    <row r="22" spans="1:8" ht="27" customHeight="1">
      <c r="A22" s="777" t="s">
        <v>2062</v>
      </c>
      <c r="B22" s="777"/>
      <c r="C22" s="914" t="s">
        <v>2063</v>
      </c>
      <c r="D22" s="777"/>
      <c r="E22" s="777"/>
      <c r="F22" s="916"/>
      <c r="G22" s="916"/>
      <c r="H22" s="916"/>
    </row>
    <row r="23" spans="1:8" ht="36" customHeight="1">
      <c r="A23" s="777" t="s">
        <v>2064</v>
      </c>
      <c r="B23" s="777"/>
      <c r="C23" s="914" t="s">
        <v>2065</v>
      </c>
      <c r="D23" s="777"/>
      <c r="E23" s="777"/>
      <c r="F23" s="916"/>
      <c r="G23" s="916"/>
      <c r="H23" s="916"/>
    </row>
    <row r="24" spans="1:8" ht="28.5" customHeight="1">
      <c r="A24" s="777" t="s">
        <v>2066</v>
      </c>
      <c r="B24" s="777"/>
      <c r="C24" s="914" t="s">
        <v>2067</v>
      </c>
      <c r="D24" s="777"/>
      <c r="E24" s="777"/>
      <c r="F24" s="916"/>
      <c r="G24" s="916"/>
      <c r="H24" s="916"/>
    </row>
    <row r="25" spans="1:8" ht="36" customHeight="1">
      <c r="A25" s="777" t="s">
        <v>2068</v>
      </c>
      <c r="B25" s="777"/>
      <c r="C25" s="914" t="s">
        <v>2069</v>
      </c>
      <c r="D25" s="777"/>
      <c r="E25" s="777"/>
      <c r="F25" s="916"/>
      <c r="G25" s="916"/>
      <c r="H25" s="916"/>
    </row>
    <row r="26" spans="1:8" ht="27" customHeight="1">
      <c r="A26" s="777" t="s">
        <v>2070</v>
      </c>
      <c r="B26" s="777"/>
      <c r="C26" s="914" t="s">
        <v>2071</v>
      </c>
      <c r="D26" s="777"/>
      <c r="E26" s="777"/>
      <c r="F26" s="916"/>
      <c r="G26" s="916"/>
      <c r="H26" s="916"/>
    </row>
    <row r="27" spans="1:8" ht="36" customHeight="1">
      <c r="A27" s="777" t="s">
        <v>2072</v>
      </c>
      <c r="B27" s="777"/>
      <c r="C27" s="914" t="s">
        <v>2073</v>
      </c>
      <c r="D27" s="777"/>
      <c r="E27" s="777"/>
      <c r="F27" s="916"/>
      <c r="G27" s="916"/>
      <c r="H27" s="916"/>
    </row>
    <row r="28" spans="1:8" ht="28.5" customHeight="1">
      <c r="A28" s="777" t="s">
        <v>2074</v>
      </c>
      <c r="B28" s="777"/>
      <c r="C28" s="914" t="s">
        <v>2075</v>
      </c>
      <c r="D28" s="777"/>
      <c r="E28" s="777"/>
      <c r="F28" s="916"/>
      <c r="G28" s="916"/>
      <c r="H28" s="916"/>
    </row>
    <row r="29" spans="1:8" ht="126" customHeight="1">
      <c r="A29" s="777" t="s">
        <v>2076</v>
      </c>
      <c r="B29" s="777" t="s">
        <v>1648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2077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2078</v>
      </c>
    </row>
    <row r="30" spans="1:8" ht="36" customHeight="1">
      <c r="A30" s="777" t="s">
        <v>2079</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2080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2081</v>
      </c>
      <c r="B31" s="777"/>
      <c r="C31" s="914" t="str">
        <f>IF(TEMPLATE_SPHERE="HEAT",D31,IF(TEMPLATE_SPHERE="TKO",H31,E31))</f>
        <v>Форма 1. Информация об организации, осуществляющей холодное водоснабжение (общая информация)</v>
      </c>
      <c r="D31" s="777" t="s">
        <v>2082</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2083</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2084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2085</v>
      </c>
    </row>
    <row r="33" spans="1:8" ht="9" customHeight="1">
      <c r="A33" s="777"/>
      <c r="B33" s="777"/>
      <c r="C33" s="914"/>
      <c r="D33" s="777"/>
      <c r="E33" s="777"/>
      <c r="F33" s="916"/>
      <c r="G33" s="916"/>
      <c r="H33" s="916"/>
    </row>
    <row r="34" spans="1:8" ht="9" customHeight="1">
      <c r="A34" s="777"/>
      <c r="B34" s="777" t="s">
        <v>1584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2086</v>
      </c>
      <c r="D1" s="828"/>
      <c r="E1" s="828"/>
      <c r="F1" s="828"/>
      <c r="G1" s="828"/>
      <c r="H1" s="828" t="s">
        <v>2087</v>
      </c>
      <c r="I1" s="828"/>
      <c r="J1" s="828"/>
      <c r="K1" s="828"/>
      <c r="L1" s="828"/>
      <c r="M1" s="828" t="s">
        <v>2088</v>
      </c>
      <c r="N1" s="828" t="s">
        <v>2089</v>
      </c>
      <c r="O1" s="2858" t="s">
        <v>2090</v>
      </c>
      <c r="P1" s="2858"/>
      <c r="Q1" s="2858"/>
      <c r="R1" s="2858"/>
      <c r="S1" s="2858"/>
      <c r="T1" s="2858" t="s">
        <v>2088</v>
      </c>
      <c r="U1" s="2858"/>
      <c r="V1" s="2858"/>
      <c r="W1" s="2858"/>
      <c r="X1" s="2858"/>
      <c r="Y1" s="929"/>
      <c r="Z1" s="2858" t="s">
        <v>2091</v>
      </c>
      <c r="AA1" s="2858"/>
      <c r="AB1" s="2858"/>
      <c r="AC1" s="2858"/>
      <c r="AD1" s="2858"/>
    </row>
    <row r="2" spans="1:34" ht="18" customHeight="1">
      <c r="A2" s="777"/>
      <c r="B2" s="777"/>
      <c r="C2" s="772" t="s">
        <v>886</v>
      </c>
      <c r="D2" s="772" t="s">
        <v>932</v>
      </c>
      <c r="E2" s="772" t="s">
        <v>985</v>
      </c>
      <c r="F2" s="772" t="s">
        <v>972</v>
      </c>
      <c r="G2" s="772" t="s">
        <v>1697</v>
      </c>
      <c r="H2" s="774"/>
      <c r="I2" s="774"/>
      <c r="J2" s="774"/>
      <c r="K2" s="774"/>
      <c r="L2" s="774"/>
      <c r="M2" s="774"/>
      <c r="N2" s="774"/>
      <c r="O2" s="772" t="s">
        <v>886</v>
      </c>
      <c r="P2" s="772" t="s">
        <v>932</v>
      </c>
      <c r="Q2" s="772" t="s">
        <v>972</v>
      </c>
      <c r="R2" s="772" t="s">
        <v>985</v>
      </c>
      <c r="S2" s="772" t="s">
        <v>1697</v>
      </c>
      <c r="T2" s="772" t="s">
        <v>886</v>
      </c>
      <c r="U2" s="772" t="s">
        <v>932</v>
      </c>
      <c r="V2" s="772" t="s">
        <v>972</v>
      </c>
      <c r="W2" s="772" t="s">
        <v>985</v>
      </c>
      <c r="X2" s="772" t="s">
        <v>1697</v>
      </c>
      <c r="Y2" s="772"/>
      <c r="Z2" s="772" t="s">
        <v>886</v>
      </c>
      <c r="AA2" s="781" t="s">
        <v>932</v>
      </c>
      <c r="AB2" s="772" t="s">
        <v>972</v>
      </c>
      <c r="AC2" s="772" t="s">
        <v>985</v>
      </c>
      <c r="AD2" s="772" t="s">
        <v>1697</v>
      </c>
    </row>
    <row r="3" spans="1:34" ht="162" customHeight="1">
      <c r="A3" s="776" t="s">
        <v>26</v>
      </c>
      <c r="B3" s="776"/>
      <c r="C3" s="2862" t="s">
        <v>2092</v>
      </c>
      <c r="D3" s="2863"/>
      <c r="E3" s="2863"/>
      <c r="F3" s="28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2093</v>
      </c>
      <c r="AA3" s="774" t="s">
        <v>2094</v>
      </c>
      <c r="AB3" s="777" t="s">
        <v>2095</v>
      </c>
      <c r="AC3" s="777" t="s">
        <v>2096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859" t="s">
        <v>33</v>
      </c>
      <c r="B11" s="829">
        <v>1</v>
      </c>
      <c r="C11" s="2865" t="s">
        <v>1635</v>
      </c>
      <c r="D11" s="2865" t="s">
        <v>1631</v>
      </c>
      <c r="E11" s="2865" t="s">
        <v>1729</v>
      </c>
      <c r="F11" s="2865" t="s">
        <v>2097</v>
      </c>
      <c r="G11" s="2865"/>
      <c r="H11" s="828" t="s">
        <v>2098</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2099</v>
      </c>
      <c r="U11" s="774" t="s">
        <v>2100</v>
      </c>
      <c r="V11" s="774"/>
      <c r="W11" s="774"/>
      <c r="X11" s="774"/>
      <c r="Y11" s="930"/>
      <c r="Z11" s="777" t="s">
        <v>2101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859"/>
      <c r="B12" s="829">
        <v>2</v>
      </c>
      <c r="C12" s="2866"/>
      <c r="D12" s="2866"/>
      <c r="E12" s="2866"/>
      <c r="F12" s="2866"/>
      <c r="G12" s="2866"/>
      <c r="H12" s="828" t="s">
        <v>2102</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2103</v>
      </c>
      <c r="U12" s="774" t="s">
        <v>2104</v>
      </c>
      <c r="V12" s="774"/>
      <c r="W12" s="774"/>
      <c r="X12" s="774"/>
      <c r="Y12" s="930"/>
      <c r="Z12" s="777" t="s">
        <v>2105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859"/>
      <c r="B13" s="829">
        <v>3</v>
      </c>
      <c r="C13" s="2866"/>
      <c r="D13" s="2866"/>
      <c r="E13" s="2866"/>
      <c r="F13" s="2866"/>
      <c r="G13" s="2866"/>
      <c r="H13" s="2858" t="s">
        <v>2106</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2107</v>
      </c>
      <c r="U13" s="775" t="s">
        <v>2108</v>
      </c>
      <c r="V13" s="775"/>
      <c r="W13" s="775"/>
      <c r="X13" s="774"/>
      <c r="Y13" s="930"/>
      <c r="Z13" s="777" t="s">
        <v>2109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859"/>
      <c r="B14" s="829">
        <v>4</v>
      </c>
      <c r="C14" s="2866"/>
      <c r="D14" s="2866"/>
      <c r="E14" s="2866"/>
      <c r="F14" s="2866"/>
      <c r="G14" s="2866"/>
      <c r="H14" s="28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2110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2111</v>
      </c>
      <c r="AA14" s="780" t="s">
        <v>2111</v>
      </c>
      <c r="AB14" s="777"/>
      <c r="AC14" s="777"/>
      <c r="AD14" s="777"/>
    </row>
    <row r="15" spans="1:34" ht="108" customHeight="1">
      <c r="A15" s="2859"/>
      <c r="B15" s="829">
        <v>5</v>
      </c>
      <c r="C15" s="2866"/>
      <c r="D15" s="2866"/>
      <c r="E15" s="2866"/>
      <c r="F15" s="2866"/>
      <c r="G15" s="2866"/>
      <c r="H15" s="2860" t="s">
        <v>2112</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2113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2114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867"/>
      <c r="D16" s="2867"/>
      <c r="E16" s="2867"/>
      <c r="F16" s="2867"/>
      <c r="G16" s="2867"/>
      <c r="H16" s="286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2114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1732</v>
      </c>
      <c r="B18" s="829">
        <v>1</v>
      </c>
      <c r="C18" s="774" t="s">
        <v>2098</v>
      </c>
      <c r="D18" s="897" t="s">
        <v>2098</v>
      </c>
      <c r="E18" s="774" t="s">
        <v>2098</v>
      </c>
      <c r="F18" s="774" t="s">
        <v>2098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2115</v>
      </c>
      <c r="U18" s="777" t="s">
        <v>2116</v>
      </c>
      <c r="V18" s="777" t="s">
        <v>2117</v>
      </c>
      <c r="W18" s="777" t="s">
        <v>2118</v>
      </c>
      <c r="X18" s="774"/>
      <c r="Y18" s="930"/>
      <c r="Z18" s="777" t="s">
        <v>2119</v>
      </c>
      <c r="AA18" s="780" t="s">
        <v>2120</v>
      </c>
      <c r="AB18" s="780" t="s">
        <v>2120</v>
      </c>
      <c r="AC18" s="780" t="s">
        <v>2120</v>
      </c>
      <c r="AD18" s="777"/>
    </row>
    <row r="19" spans="1:30" ht="36" customHeight="1">
      <c r="A19" s="776"/>
      <c r="B19" s="829">
        <v>2</v>
      </c>
      <c r="C19" s="774" t="s">
        <v>2102</v>
      </c>
      <c r="D19" s="897" t="s">
        <v>2102</v>
      </c>
      <c r="E19" s="774" t="s">
        <v>2102</v>
      </c>
      <c r="F19" s="774" t="s">
        <v>2102</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2121</v>
      </c>
      <c r="U19" s="777" t="s">
        <v>2122</v>
      </c>
      <c r="V19" s="777" t="s">
        <v>2123</v>
      </c>
      <c r="W19" s="777" t="s">
        <v>2124</v>
      </c>
      <c r="X19" s="774"/>
      <c r="Y19" s="930"/>
      <c r="Z19" s="777" t="s">
        <v>2125</v>
      </c>
      <c r="AA19" s="780" t="s">
        <v>2125</v>
      </c>
      <c r="AB19" s="780" t="s">
        <v>2125</v>
      </c>
      <c r="AC19" s="780" t="s">
        <v>2125</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787</v>
      </c>
      <c r="P20" s="887" t="s">
        <v>787</v>
      </c>
      <c r="Q20" s="887" t="s">
        <v>787</v>
      </c>
      <c r="R20" s="887" t="s">
        <v>787</v>
      </c>
      <c r="S20" s="887"/>
      <c r="T20" s="894" t="s">
        <v>2126</v>
      </c>
      <c r="U20" s="777" t="s">
        <v>2127</v>
      </c>
      <c r="V20" s="777" t="s">
        <v>2128</v>
      </c>
      <c r="W20" s="777" t="s">
        <v>2129</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387</v>
      </c>
      <c r="P21" s="887"/>
      <c r="Q21" s="887"/>
      <c r="R21" s="887"/>
      <c r="S21" s="887"/>
      <c r="T21" s="894" t="s">
        <v>2130</v>
      </c>
      <c r="U21" s="777"/>
      <c r="V21" s="777"/>
      <c r="W21" s="777"/>
      <c r="X21" s="774"/>
      <c r="Y21" s="930"/>
      <c r="Z21" s="777" t="s">
        <v>2131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387</v>
      </c>
      <c r="R22" s="887"/>
      <c r="S22" s="887"/>
      <c r="T22" s="894"/>
      <c r="U22" s="777"/>
      <c r="V22" s="777" t="s">
        <v>2132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390</v>
      </c>
      <c r="R23" s="887"/>
      <c r="S23" s="887"/>
      <c r="T23" s="894"/>
      <c r="U23" s="777"/>
      <c r="V23" s="777" t="s">
        <v>2133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807</v>
      </c>
      <c r="R24" s="887"/>
      <c r="S24" s="887"/>
      <c r="T24" s="894"/>
      <c r="U24" s="777"/>
      <c r="V24" s="777" t="s">
        <v>2134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390</v>
      </c>
      <c r="P25" s="887" t="s">
        <v>387</v>
      </c>
      <c r="Q25" s="887" t="s">
        <v>814</v>
      </c>
      <c r="R25" s="887" t="s">
        <v>387</v>
      </c>
      <c r="S25" s="887"/>
      <c r="T25" s="894" t="s">
        <v>2135</v>
      </c>
      <c r="U25" s="777" t="s">
        <v>2135</v>
      </c>
      <c r="V25" s="777" t="s">
        <v>2135</v>
      </c>
      <c r="W25" s="777" t="s">
        <v>2135</v>
      </c>
      <c r="X25" s="774"/>
      <c r="Y25" s="930"/>
      <c r="Z25" s="777"/>
      <c r="AA25" s="780"/>
      <c r="AB25" s="777"/>
      <c r="AC25" s="777"/>
      <c r="AD25" s="777"/>
    </row>
    <row r="26" spans="1:30" ht="18" customHeight="1">
      <c r="A26" s="776"/>
      <c r="B26" s="829">
        <v>9</v>
      </c>
      <c r="C26" s="774" t="s">
        <v>731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803</v>
      </c>
      <c r="P26" s="887" t="s">
        <v>797</v>
      </c>
      <c r="Q26" s="887" t="s">
        <v>2136</v>
      </c>
      <c r="R26" s="887" t="s">
        <v>797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2137</v>
      </c>
      <c r="V26" s="894" t="s">
        <v>2137</v>
      </c>
      <c r="W26" s="894" t="s">
        <v>2137</v>
      </c>
      <c r="X26" s="774"/>
      <c r="Y26" s="930"/>
      <c r="Z26" s="777"/>
      <c r="AA26" s="780"/>
      <c r="AB26" s="777"/>
      <c r="AC26" s="777"/>
      <c r="AD26" s="777"/>
    </row>
    <row r="27" spans="1:30" ht="18" customHeight="1">
      <c r="A27" s="776"/>
      <c r="B27" s="829">
        <v>10</v>
      </c>
      <c r="C27" s="774" t="s">
        <v>735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805</v>
      </c>
      <c r="P27" s="887" t="s">
        <v>799</v>
      </c>
      <c r="Q27" s="887" t="s">
        <v>2138</v>
      </c>
      <c r="R27" s="887" t="s">
        <v>799</v>
      </c>
      <c r="S27" s="887"/>
      <c r="T27" s="894" t="s">
        <v>2139</v>
      </c>
      <c r="U27" s="894" t="s">
        <v>2139</v>
      </c>
      <c r="V27" s="894" t="s">
        <v>2139</v>
      </c>
      <c r="W27" s="894" t="s">
        <v>2139</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807</v>
      </c>
      <c r="P28" s="887"/>
      <c r="Q28" s="887"/>
      <c r="R28" s="887"/>
      <c r="S28" s="887"/>
      <c r="T28" s="894" t="s">
        <v>2140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814</v>
      </c>
      <c r="P29" s="887" t="s">
        <v>390</v>
      </c>
      <c r="Q29" s="887"/>
      <c r="R29" s="887" t="s">
        <v>390</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2141</v>
      </c>
      <c r="V29" s="777"/>
      <c r="W29" s="777" t="s">
        <v>2141</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816</v>
      </c>
      <c r="P30" s="887" t="s">
        <v>807</v>
      </c>
      <c r="Q30" s="887" t="s">
        <v>816</v>
      </c>
      <c r="R30" s="887" t="s">
        <v>807</v>
      </c>
      <c r="S30" s="887"/>
      <c r="T30" s="894" t="s">
        <v>2142</v>
      </c>
      <c r="U30" s="777" t="s">
        <v>2142</v>
      </c>
      <c r="V30" s="777" t="s">
        <v>2142</v>
      </c>
      <c r="W30" s="777" t="s">
        <v>2142</v>
      </c>
      <c r="X30" s="774"/>
      <c r="Y30" s="930"/>
      <c r="Z30" s="777"/>
      <c r="AA30" s="780" t="s">
        <v>2143</v>
      </c>
      <c r="AB30" s="780" t="s">
        <v>2143</v>
      </c>
      <c r="AC30" s="780" t="s">
        <v>2143</v>
      </c>
      <c r="AD30" s="777"/>
    </row>
    <row r="31" spans="1:30" ht="18" customHeight="1">
      <c r="A31" s="776"/>
      <c r="B31" s="829">
        <v>14</v>
      </c>
      <c r="C31" s="774" t="s">
        <v>2144</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2145</v>
      </c>
      <c r="P31" s="887" t="s">
        <v>810</v>
      </c>
      <c r="Q31" s="887" t="s">
        <v>2145</v>
      </c>
      <c r="R31" s="887" t="s">
        <v>810</v>
      </c>
      <c r="S31" s="887"/>
      <c r="T31" s="895" t="s">
        <v>2146</v>
      </c>
      <c r="U31" s="777" t="s">
        <v>2146</v>
      </c>
      <c r="V31" s="777" t="s">
        <v>2146</v>
      </c>
      <c r="W31" s="777" t="s">
        <v>2146</v>
      </c>
      <c r="X31" s="774"/>
      <c r="Y31" s="930"/>
      <c r="Z31" s="777"/>
      <c r="AA31" s="780"/>
      <c r="AB31" s="780"/>
      <c r="AC31" s="780"/>
      <c r="AD31" s="777"/>
    </row>
    <row r="32" spans="1:30" ht="36" customHeight="1">
      <c r="A32" s="776"/>
      <c r="B32" s="829">
        <v>15</v>
      </c>
      <c r="C32" s="774" t="s">
        <v>2147</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2148</v>
      </c>
      <c r="P32" s="887" t="s">
        <v>812</v>
      </c>
      <c r="Q32" s="887" t="s">
        <v>2148</v>
      </c>
      <c r="R32" s="887" t="s">
        <v>812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2149</v>
      </c>
      <c r="V32" s="777" t="s">
        <v>2149</v>
      </c>
      <c r="W32" s="777" t="s">
        <v>2149</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818</v>
      </c>
      <c r="P33" s="887" t="s">
        <v>814</v>
      </c>
      <c r="Q33" s="887" t="s">
        <v>818</v>
      </c>
      <c r="R33" s="887" t="s">
        <v>814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2150</v>
      </c>
      <c r="V33" s="777" t="s">
        <v>2150</v>
      </c>
      <c r="W33" s="777" t="s">
        <v>2151</v>
      </c>
      <c r="X33" s="774"/>
      <c r="Y33" s="930"/>
      <c r="Z33" s="777"/>
      <c r="AA33" s="780" t="s">
        <v>2152</v>
      </c>
      <c r="AB33" s="780" t="s">
        <v>2152</v>
      </c>
      <c r="AC33" s="780" t="s">
        <v>2152</v>
      </c>
      <c r="AD33" s="777"/>
    </row>
    <row r="34" spans="1:30" ht="27" customHeight="1">
      <c r="A34" s="776"/>
      <c r="B34" s="829">
        <v>17</v>
      </c>
      <c r="C34" s="774" t="s">
        <v>2153</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2154</v>
      </c>
      <c r="P34" s="887" t="s">
        <v>2136</v>
      </c>
      <c r="Q34" s="887" t="s">
        <v>2154</v>
      </c>
      <c r="R34" s="887" t="s">
        <v>2136</v>
      </c>
      <c r="S34" s="887"/>
      <c r="T34" s="896" t="s">
        <v>2155</v>
      </c>
      <c r="U34" s="777" t="s">
        <v>2155</v>
      </c>
      <c r="V34" s="777" t="s">
        <v>2155</v>
      </c>
      <c r="W34" s="777" t="s">
        <v>2156</v>
      </c>
      <c r="X34" s="774"/>
      <c r="Y34" s="930"/>
      <c r="Z34" s="777"/>
      <c r="AA34" s="780"/>
      <c r="AB34" s="777"/>
      <c r="AC34" s="777"/>
      <c r="AD34" s="777"/>
    </row>
    <row r="35" spans="1:30" ht="45" customHeight="1">
      <c r="A35" s="776"/>
      <c r="B35" s="829">
        <v>18</v>
      </c>
      <c r="C35" s="774" t="s">
        <v>2157</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2158</v>
      </c>
      <c r="P35" s="887" t="s">
        <v>2138</v>
      </c>
      <c r="Q35" s="887" t="s">
        <v>2158</v>
      </c>
      <c r="R35" s="887" t="s">
        <v>2138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2159</v>
      </c>
      <c r="V35" s="777" t="s">
        <v>2159</v>
      </c>
      <c r="W35" s="777" t="s">
        <v>2159</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820</v>
      </c>
      <c r="P36" s="887" t="s">
        <v>816</v>
      </c>
      <c r="Q36" s="887" t="s">
        <v>820</v>
      </c>
      <c r="R36" s="887" t="s">
        <v>816</v>
      </c>
      <c r="S36" s="887"/>
      <c r="T36" s="894" t="s">
        <v>2160</v>
      </c>
      <c r="U36" s="777" t="s">
        <v>2160</v>
      </c>
      <c r="V36" s="777" t="s">
        <v>2160</v>
      </c>
      <c r="W36" s="777" t="s">
        <v>2160</v>
      </c>
      <c r="X36" s="774"/>
      <c r="Y36" s="930"/>
      <c r="Z36" s="777"/>
      <c r="AA36" s="780"/>
      <c r="AB36" s="777"/>
      <c r="AC36" s="777"/>
      <c r="AD36" s="777"/>
    </row>
    <row r="37" spans="1:30" ht="18" customHeight="1">
      <c r="A37" s="776"/>
      <c r="B37" s="829">
        <v>20</v>
      </c>
      <c r="C37" s="774" t="s">
        <v>2161</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2162</v>
      </c>
      <c r="P37" s="887" t="s">
        <v>2145</v>
      </c>
      <c r="Q37" s="887" t="s">
        <v>2162</v>
      </c>
      <c r="R37" s="887" t="s">
        <v>2145</v>
      </c>
      <c r="S37" s="887"/>
      <c r="T37" s="894" t="s">
        <v>2163</v>
      </c>
      <c r="U37" s="777" t="s">
        <v>2163</v>
      </c>
      <c r="V37" s="777" t="s">
        <v>2163</v>
      </c>
      <c r="W37" s="777" t="s">
        <v>2163</v>
      </c>
      <c r="X37" s="774"/>
      <c r="Y37" s="930"/>
      <c r="Z37" s="777"/>
      <c r="AA37" s="780"/>
      <c r="AB37" s="777"/>
      <c r="AC37" s="777"/>
      <c r="AD37" s="777"/>
    </row>
    <row r="38" spans="1:30" ht="18" customHeight="1">
      <c r="A38" s="776"/>
      <c r="B38" s="829">
        <v>21</v>
      </c>
      <c r="C38" s="774" t="s">
        <v>2164</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2165</v>
      </c>
      <c r="P38" s="887" t="s">
        <v>2148</v>
      </c>
      <c r="Q38" s="887" t="s">
        <v>2165</v>
      </c>
      <c r="R38" s="887" t="s">
        <v>2148</v>
      </c>
      <c r="S38" s="887"/>
      <c r="T38" s="894" t="s">
        <v>2166</v>
      </c>
      <c r="U38" s="777" t="s">
        <v>2166</v>
      </c>
      <c r="V38" s="777" t="s">
        <v>2166</v>
      </c>
      <c r="W38" s="777" t="s">
        <v>2166</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824</v>
      </c>
      <c r="P39" s="887" t="s">
        <v>818</v>
      </c>
      <c r="Q39" s="887" t="s">
        <v>824</v>
      </c>
      <c r="R39" s="887" t="s">
        <v>818</v>
      </c>
      <c r="S39" s="887"/>
      <c r="T39" s="894" t="s">
        <v>2167</v>
      </c>
      <c r="U39" s="777" t="s">
        <v>2168</v>
      </c>
      <c r="V39" s="777" t="s">
        <v>2169</v>
      </c>
      <c r="W39" s="777" t="s">
        <v>2170</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2171</v>
      </c>
      <c r="P40" s="887" t="s">
        <v>820</v>
      </c>
      <c r="Q40" s="887" t="s">
        <v>2171</v>
      </c>
      <c r="R40" s="887" t="s">
        <v>820</v>
      </c>
      <c r="S40" s="887"/>
      <c r="T40" s="774" t="s">
        <v>2172</v>
      </c>
      <c r="U40" s="774" t="s">
        <v>2172</v>
      </c>
      <c r="V40" s="774" t="s">
        <v>2172</v>
      </c>
      <c r="W40" s="774" t="s">
        <v>2172</v>
      </c>
      <c r="X40" s="774"/>
      <c r="Y40" s="930"/>
      <c r="Z40" s="777" t="s">
        <v>2173</v>
      </c>
      <c r="AA40" s="780" t="s">
        <v>2173</v>
      </c>
      <c r="AB40" s="780" t="s">
        <v>2173</v>
      </c>
      <c r="AC40" s="780" t="s">
        <v>2173</v>
      </c>
      <c r="AD40" s="777"/>
    </row>
    <row r="41" spans="1:30" ht="27" customHeight="1">
      <c r="A41" s="776"/>
      <c r="B41" s="829">
        <v>24</v>
      </c>
      <c r="C41" s="774" t="s">
        <v>2174</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2175</v>
      </c>
      <c r="P41" s="887" t="s">
        <v>2162</v>
      </c>
      <c r="Q41" s="887" t="s">
        <v>2175</v>
      </c>
      <c r="R41" s="887" t="s">
        <v>2162</v>
      </c>
      <c r="S41" s="887"/>
      <c r="T41" s="774" t="s">
        <v>2176</v>
      </c>
      <c r="U41" s="774" t="s">
        <v>2176</v>
      </c>
      <c r="V41" s="774" t="s">
        <v>2176</v>
      </c>
      <c r="W41" s="774" t="s">
        <v>2176</v>
      </c>
      <c r="X41" s="774"/>
      <c r="Y41" s="930"/>
      <c r="Z41" s="777" t="s">
        <v>2177</v>
      </c>
      <c r="AA41" s="777" t="s">
        <v>2177</v>
      </c>
      <c r="AB41" s="777" t="s">
        <v>2177</v>
      </c>
      <c r="AC41" s="777" t="s">
        <v>2177</v>
      </c>
      <c r="AD41" s="777"/>
    </row>
    <row r="42" spans="1:30" ht="27" customHeight="1">
      <c r="A42" s="776"/>
      <c r="B42" s="829">
        <v>25</v>
      </c>
      <c r="C42" s="774" t="s">
        <v>2178</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2179</v>
      </c>
      <c r="P42" s="887" t="s">
        <v>2165</v>
      </c>
      <c r="Q42" s="887" t="s">
        <v>2179</v>
      </c>
      <c r="R42" s="887" t="s">
        <v>2165</v>
      </c>
      <c r="S42" s="887"/>
      <c r="T42" s="774" t="s">
        <v>2180</v>
      </c>
      <c r="U42" s="774" t="s">
        <v>2180</v>
      </c>
      <c r="V42" s="774" t="s">
        <v>2180</v>
      </c>
      <c r="W42" s="774" t="s">
        <v>2180</v>
      </c>
      <c r="X42" s="774"/>
      <c r="Y42" s="930"/>
      <c r="Z42" s="777" t="s">
        <v>2181</v>
      </c>
      <c r="AA42" s="777" t="s">
        <v>2181</v>
      </c>
      <c r="AB42" s="777" t="s">
        <v>2181</v>
      </c>
      <c r="AC42" s="777" t="s">
        <v>2181</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2182</v>
      </c>
      <c r="P43" s="887" t="s">
        <v>824</v>
      </c>
      <c r="Q43" s="887" t="s">
        <v>2182</v>
      </c>
      <c r="R43" s="887" t="s">
        <v>824</v>
      </c>
      <c r="S43" s="887"/>
      <c r="T43" s="774" t="s">
        <v>2183</v>
      </c>
      <c r="U43" s="774" t="s">
        <v>2183</v>
      </c>
      <c r="V43" s="774" t="s">
        <v>2183</v>
      </c>
      <c r="W43" s="774" t="s">
        <v>2183</v>
      </c>
      <c r="X43" s="774"/>
      <c r="Y43" s="930"/>
      <c r="Z43" s="777" t="s">
        <v>2184</v>
      </c>
      <c r="AA43" s="777" t="s">
        <v>2184</v>
      </c>
      <c r="AB43" s="777" t="s">
        <v>2184</v>
      </c>
      <c r="AC43" s="777" t="s">
        <v>2184</v>
      </c>
      <c r="AD43" s="777"/>
    </row>
    <row r="44" spans="1:30" ht="27" customHeight="1">
      <c r="A44" s="776"/>
      <c r="B44" s="829">
        <v>27</v>
      </c>
      <c r="C44" s="774" t="s">
        <v>2185</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2186</v>
      </c>
      <c r="P44" s="887" t="s">
        <v>2187</v>
      </c>
      <c r="Q44" s="887" t="s">
        <v>2186</v>
      </c>
      <c r="R44" s="887" t="s">
        <v>2187</v>
      </c>
      <c r="S44" s="887"/>
      <c r="T44" s="774" t="s">
        <v>2176</v>
      </c>
      <c r="U44" s="774" t="s">
        <v>2176</v>
      </c>
      <c r="V44" s="774" t="s">
        <v>2176</v>
      </c>
      <c r="W44" s="774" t="s">
        <v>2176</v>
      </c>
      <c r="X44" s="774"/>
      <c r="Y44" s="930"/>
      <c r="Z44" s="777" t="s">
        <v>2188</v>
      </c>
      <c r="AA44" s="777" t="s">
        <v>2188</v>
      </c>
      <c r="AB44" s="777" t="s">
        <v>2188</v>
      </c>
      <c r="AC44" s="777" t="s">
        <v>2188</v>
      </c>
      <c r="AD44" s="777"/>
    </row>
    <row r="45" spans="1:30" ht="27" customHeight="1">
      <c r="A45" s="776"/>
      <c r="B45" s="829">
        <v>28</v>
      </c>
      <c r="C45" s="774" t="s">
        <v>2189</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2190</v>
      </c>
      <c r="P45" s="887" t="s">
        <v>2191</v>
      </c>
      <c r="Q45" s="887" t="s">
        <v>2190</v>
      </c>
      <c r="R45" s="887" t="s">
        <v>2191</v>
      </c>
      <c r="S45" s="887"/>
      <c r="T45" s="774" t="s">
        <v>2180</v>
      </c>
      <c r="U45" s="774" t="s">
        <v>2180</v>
      </c>
      <c r="V45" s="774" t="s">
        <v>2180</v>
      </c>
      <c r="W45" s="774" t="s">
        <v>2180</v>
      </c>
      <c r="X45" s="774"/>
      <c r="Y45" s="930"/>
      <c r="Z45" s="777" t="s">
        <v>2192</v>
      </c>
      <c r="AA45" s="777" t="s">
        <v>2192</v>
      </c>
      <c r="AB45" s="777" t="s">
        <v>2192</v>
      </c>
      <c r="AC45" s="777" t="s">
        <v>2192</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2193</v>
      </c>
      <c r="P46" s="887" t="s">
        <v>2171</v>
      </c>
      <c r="Q46" s="887" t="s">
        <v>2193</v>
      </c>
      <c r="R46" s="887" t="s">
        <v>2171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2194</v>
      </c>
      <c r="V46" s="774" t="s">
        <v>2194</v>
      </c>
      <c r="W46" s="774" t="s">
        <v>2194</v>
      </c>
      <c r="X46" s="774"/>
      <c r="Y46" s="930"/>
      <c r="Z46" s="777" t="s">
        <v>2195</v>
      </c>
      <c r="AA46" s="777" t="s">
        <v>2196</v>
      </c>
      <c r="AB46" s="777" t="s">
        <v>2196</v>
      </c>
      <c r="AC46" s="777" t="s">
        <v>2196</v>
      </c>
      <c r="AD46" s="777"/>
    </row>
    <row r="47" spans="1:30" ht="54" customHeight="1">
      <c r="A47" s="776"/>
      <c r="B47" s="829">
        <v>30</v>
      </c>
      <c r="C47" s="774" t="s">
        <v>2197</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2198</v>
      </c>
      <c r="P47" s="887" t="s">
        <v>2175</v>
      </c>
      <c r="Q47" s="887" t="s">
        <v>2198</v>
      </c>
      <c r="R47" s="887" t="s">
        <v>2175</v>
      </c>
      <c r="S47" s="887"/>
      <c r="T47" s="774" t="s">
        <v>2199</v>
      </c>
      <c r="U47" s="774" t="s">
        <v>2199</v>
      </c>
      <c r="V47" s="774" t="s">
        <v>2199</v>
      </c>
      <c r="W47" s="774" t="s">
        <v>2199</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2182</v>
      </c>
      <c r="Q48" s="887" t="s">
        <v>2200</v>
      </c>
      <c r="R48" s="887" t="s">
        <v>2182</v>
      </c>
      <c r="S48" s="887"/>
      <c r="T48" s="774"/>
      <c r="U48" s="774" t="s">
        <v>2201</v>
      </c>
      <c r="V48" s="774" t="s">
        <v>2202</v>
      </c>
      <c r="W48" s="774" t="s">
        <v>2202</v>
      </c>
      <c r="X48" s="774"/>
      <c r="Y48" s="930"/>
      <c r="Z48" s="777"/>
      <c r="AA48" s="780" t="s">
        <v>2196</v>
      </c>
      <c r="AB48" s="780" t="s">
        <v>2196</v>
      </c>
      <c r="AC48" s="780" t="s">
        <v>2196</v>
      </c>
      <c r="AD48" s="777"/>
    </row>
    <row r="49" spans="1:30" ht="54" customHeight="1">
      <c r="A49" s="776"/>
      <c r="B49" s="829">
        <v>32</v>
      </c>
      <c r="C49" s="774" t="s">
        <v>2203</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2186</v>
      </c>
      <c r="Q49" s="887" t="s">
        <v>2204</v>
      </c>
      <c r="R49" s="887" t="s">
        <v>2186</v>
      </c>
      <c r="S49" s="887"/>
      <c r="T49" s="774"/>
      <c r="U49" s="774" t="s">
        <v>2199</v>
      </c>
      <c r="V49" s="774" t="s">
        <v>2199</v>
      </c>
      <c r="W49" s="774" t="s">
        <v>2199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2200</v>
      </c>
      <c r="P50" s="887" t="s">
        <v>2193</v>
      </c>
      <c r="Q50" s="887" t="s">
        <v>2205</v>
      </c>
      <c r="R50" s="887" t="s">
        <v>2193</v>
      </c>
      <c r="S50" s="887"/>
      <c r="T50" s="774" t="s">
        <v>2206</v>
      </c>
      <c r="U50" s="774" t="s">
        <v>2207</v>
      </c>
      <c r="V50" s="774" t="s">
        <v>2208</v>
      </c>
      <c r="W50" s="774" t="s">
        <v>2209</v>
      </c>
      <c r="X50" s="774"/>
      <c r="Y50" s="930"/>
      <c r="Z50" s="777" t="s">
        <v>2210</v>
      </c>
      <c r="AA50" s="780" t="s">
        <v>2211</v>
      </c>
      <c r="AB50" s="780" t="s">
        <v>2211</v>
      </c>
      <c r="AC50" s="780" t="s">
        <v>2211</v>
      </c>
      <c r="AD50" s="777"/>
    </row>
    <row r="51" spans="1:30" ht="27" customHeight="1">
      <c r="A51" s="776"/>
      <c r="B51" s="829">
        <v>34</v>
      </c>
      <c r="C51" s="774" t="s">
        <v>2212</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90</v>
      </c>
      <c r="P51" s="887"/>
      <c r="Q51" s="887"/>
      <c r="R51" s="887"/>
      <c r="S51" s="887"/>
      <c r="T51" s="774" t="s">
        <v>2213</v>
      </c>
      <c r="U51" s="774"/>
      <c r="V51" s="774"/>
      <c r="W51" s="774"/>
      <c r="X51" s="774"/>
      <c r="Y51" s="930"/>
      <c r="Z51" s="777"/>
      <c r="AA51" s="780"/>
      <c r="AB51" s="780"/>
      <c r="AC51" s="780"/>
      <c r="AD51" s="777"/>
    </row>
    <row r="52" spans="1:30" ht="36" customHeight="1">
      <c r="A52" s="776"/>
      <c r="B52" s="829">
        <v>35</v>
      </c>
      <c r="C52" s="774" t="s">
        <v>2106</v>
      </c>
      <c r="D52" s="897" t="s">
        <v>2106</v>
      </c>
      <c r="E52" s="774" t="s">
        <v>2106</v>
      </c>
      <c r="F52" s="774" t="s">
        <v>2106</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2214</v>
      </c>
      <c r="U52" s="774" t="s">
        <v>2215</v>
      </c>
      <c r="V52" s="774" t="s">
        <v>2216</v>
      </c>
      <c r="W52" s="774" t="s">
        <v>2217</v>
      </c>
      <c r="X52" s="774"/>
      <c r="Y52" s="930"/>
      <c r="Z52" s="777" t="s">
        <v>828</v>
      </c>
      <c r="AA52" s="780" t="s">
        <v>828</v>
      </c>
      <c r="AB52" s="780" t="s">
        <v>828</v>
      </c>
      <c r="AC52" s="780" t="s">
        <v>828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832</v>
      </c>
      <c r="P53" s="887" t="s">
        <v>404</v>
      </c>
      <c r="Q53" s="887" t="s">
        <v>404</v>
      </c>
      <c r="R53" s="887" t="s">
        <v>404</v>
      </c>
      <c r="S53" s="887"/>
      <c r="T53" s="774" t="s">
        <v>2218</v>
      </c>
      <c r="U53" s="774" t="s">
        <v>2218</v>
      </c>
      <c r="V53" s="774" t="s">
        <v>2218</v>
      </c>
      <c r="W53" s="774" t="s">
        <v>2218</v>
      </c>
      <c r="X53" s="774"/>
      <c r="Y53" s="930"/>
      <c r="Z53" s="777"/>
      <c r="AA53" s="780"/>
      <c r="AB53" s="777"/>
      <c r="AC53" s="777"/>
      <c r="AD53" s="777"/>
    </row>
    <row r="54" spans="1:30" ht="18" customHeight="1">
      <c r="A54" s="776"/>
      <c r="B54" s="829">
        <v>37</v>
      </c>
      <c r="C54" s="774" t="s">
        <v>2112</v>
      </c>
      <c r="D54" s="897" t="s">
        <v>2112</v>
      </c>
      <c r="E54" s="774" t="s">
        <v>2112</v>
      </c>
      <c r="F54" s="774" t="s">
        <v>2112</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127</v>
      </c>
      <c r="P54" s="887" t="s">
        <v>91</v>
      </c>
      <c r="Q54" s="887" t="s">
        <v>91</v>
      </c>
      <c r="R54" s="887" t="s">
        <v>91</v>
      </c>
      <c r="S54" s="887"/>
      <c r="T54" s="774" t="s">
        <v>830</v>
      </c>
      <c r="U54" s="774" t="s">
        <v>830</v>
      </c>
      <c r="V54" s="774" t="s">
        <v>830</v>
      </c>
      <c r="W54" s="774" t="s">
        <v>830</v>
      </c>
      <c r="X54" s="774"/>
      <c r="Y54" s="930"/>
      <c r="Z54" s="777" t="s">
        <v>831</v>
      </c>
      <c r="AA54" s="777" t="s">
        <v>831</v>
      </c>
      <c r="AB54" s="777" t="s">
        <v>831</v>
      </c>
      <c r="AC54" s="777" t="s">
        <v>831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393</v>
      </c>
      <c r="P55" s="887" t="s">
        <v>832</v>
      </c>
      <c r="Q55" s="887" t="s">
        <v>832</v>
      </c>
      <c r="R55" s="887" t="s">
        <v>832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2219</v>
      </c>
      <c r="V55" s="774" t="s">
        <v>2219</v>
      </c>
      <c r="W55" s="774" t="s">
        <v>2219</v>
      </c>
      <c r="X55" s="774"/>
      <c r="Y55" s="930"/>
      <c r="Z55" s="777" t="s">
        <v>2220</v>
      </c>
      <c r="AA55" s="777" t="s">
        <v>2220</v>
      </c>
      <c r="AB55" s="777" t="s">
        <v>2220</v>
      </c>
      <c r="AC55" s="777" t="s">
        <v>2220</v>
      </c>
      <c r="AD55" s="777"/>
    </row>
    <row r="56" spans="1:30" ht="27" customHeight="1">
      <c r="A56" s="776"/>
      <c r="B56" s="829">
        <v>39</v>
      </c>
      <c r="C56" s="774" t="s">
        <v>1100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1217</v>
      </c>
      <c r="P56" s="887" t="s">
        <v>835</v>
      </c>
      <c r="Q56" s="887" t="s">
        <v>835</v>
      </c>
      <c r="R56" s="887" t="s">
        <v>835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2221</v>
      </c>
      <c r="V56" s="774" t="s">
        <v>2221</v>
      </c>
      <c r="W56" s="774" t="s">
        <v>2221</v>
      </c>
      <c r="X56" s="774"/>
      <c r="Y56" s="930"/>
      <c r="Z56" s="777" t="s">
        <v>837</v>
      </c>
      <c r="AA56" s="777" t="s">
        <v>837</v>
      </c>
      <c r="AB56" s="777" t="s">
        <v>837</v>
      </c>
      <c r="AC56" s="777" t="s">
        <v>837</v>
      </c>
      <c r="AD56" s="777"/>
    </row>
    <row r="57" spans="1:30" ht="27" customHeight="1">
      <c r="A57" s="776"/>
      <c r="B57" s="829">
        <v>40</v>
      </c>
      <c r="C57" s="774" t="s">
        <v>1102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2222</v>
      </c>
      <c r="P57" s="887" t="s">
        <v>838</v>
      </c>
      <c r="Q57" s="887" t="s">
        <v>838</v>
      </c>
      <c r="R57" s="887" t="s">
        <v>838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2223</v>
      </c>
      <c r="V57" s="774" t="s">
        <v>2223</v>
      </c>
      <c r="W57" s="774" t="s">
        <v>2223</v>
      </c>
      <c r="X57" s="774"/>
      <c r="Y57" s="930"/>
      <c r="Z57" s="777" t="s">
        <v>840</v>
      </c>
      <c r="AA57" s="777" t="s">
        <v>840</v>
      </c>
      <c r="AB57" s="777" t="s">
        <v>840</v>
      </c>
      <c r="AC57" s="777" t="s">
        <v>840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960</v>
      </c>
      <c r="P58" s="887" t="s">
        <v>874</v>
      </c>
      <c r="Q58" s="887" t="s">
        <v>874</v>
      </c>
      <c r="R58" s="887" t="s">
        <v>874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2224</v>
      </c>
      <c r="V58" s="774" t="s">
        <v>2224</v>
      </c>
      <c r="W58" s="774" t="s">
        <v>2224</v>
      </c>
      <c r="X58" s="774"/>
      <c r="Y58" s="930"/>
      <c r="Z58" s="777"/>
      <c r="AA58" s="780"/>
      <c r="AB58" s="777"/>
      <c r="AC58" s="777"/>
      <c r="AD58" s="777"/>
    </row>
    <row r="59" spans="1:30" ht="36" customHeight="1">
      <c r="A59" s="776"/>
      <c r="B59" s="829">
        <v>42</v>
      </c>
      <c r="C59" s="774">
        <v>3</v>
      </c>
      <c r="D59" s="897" t="s">
        <v>2212</v>
      </c>
      <c r="E59" s="774" t="s">
        <v>2212</v>
      </c>
      <c r="F59" s="774" t="s">
        <v>2212</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127</v>
      </c>
      <c r="Q59" s="887" t="s">
        <v>127</v>
      </c>
      <c r="R59" s="887" t="s">
        <v>127</v>
      </c>
      <c r="S59" s="887"/>
      <c r="T59" s="774"/>
      <c r="U59" s="774" t="s">
        <v>2225</v>
      </c>
      <c r="V59" s="774" t="s">
        <v>2226</v>
      </c>
      <c r="W59" s="774" t="s">
        <v>2227</v>
      </c>
      <c r="X59" s="774"/>
      <c r="Y59" s="930"/>
      <c r="Z59" s="777"/>
      <c r="AA59" s="780"/>
      <c r="AB59" s="777"/>
      <c r="AC59" s="777"/>
      <c r="AD59" s="777"/>
    </row>
    <row r="60" spans="1:30" ht="81" customHeight="1">
      <c r="A60" s="776"/>
      <c r="B60" s="829">
        <v>43</v>
      </c>
      <c r="C60" s="774" t="s">
        <v>2228</v>
      </c>
      <c r="D60" s="897" t="s">
        <v>2228</v>
      </c>
      <c r="E60" s="774" t="s">
        <v>2228</v>
      </c>
      <c r="F60" s="774" t="s">
        <v>2228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92</v>
      </c>
      <c r="P60" s="887" t="s">
        <v>92</v>
      </c>
      <c r="Q60" s="887" t="s">
        <v>92</v>
      </c>
      <c r="R60" s="887" t="s">
        <v>92</v>
      </c>
      <c r="S60" s="887"/>
      <c r="T60" s="774" t="s">
        <v>708</v>
      </c>
      <c r="U60" s="774" t="s">
        <v>708</v>
      </c>
      <c r="V60" s="774" t="s">
        <v>708</v>
      </c>
      <c r="W60" s="774" t="s">
        <v>708</v>
      </c>
      <c r="X60" s="774"/>
      <c r="Y60" s="930"/>
      <c r="Z60" s="777" t="s">
        <v>2229</v>
      </c>
      <c r="AA60" s="780" t="s">
        <v>2230</v>
      </c>
      <c r="AB60" s="777" t="s">
        <v>2231</v>
      </c>
      <c r="AC60" s="777" t="s">
        <v>2230</v>
      </c>
      <c r="AD60" s="777"/>
    </row>
    <row r="61" spans="1:30" ht="9" customHeight="1">
      <c r="A61" s="776"/>
      <c r="B61" s="829">
        <v>44</v>
      </c>
      <c r="C61" s="774"/>
      <c r="D61" s="897" t="s">
        <v>2232</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93</v>
      </c>
      <c r="Q61" s="887"/>
      <c r="R61" s="887"/>
      <c r="S61" s="887"/>
      <c r="T61" s="774"/>
      <c r="U61" s="774" t="s">
        <v>2233</v>
      </c>
      <c r="V61" s="774"/>
      <c r="W61" s="774"/>
      <c r="X61" s="774"/>
      <c r="Y61" s="930"/>
      <c r="Z61" s="777"/>
      <c r="AA61" s="780"/>
      <c r="AB61" s="777"/>
      <c r="AC61" s="777"/>
      <c r="AD61" s="777"/>
    </row>
    <row r="62" spans="1:30" ht="9" customHeight="1">
      <c r="A62" s="776"/>
      <c r="B62" s="829">
        <v>45</v>
      </c>
      <c r="C62" s="774"/>
      <c r="D62" s="897" t="s">
        <v>2234</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178</v>
      </c>
      <c r="Q62" s="887"/>
      <c r="R62" s="887"/>
      <c r="S62" s="887"/>
      <c r="T62" s="774"/>
      <c r="U62" s="774" t="s">
        <v>2235</v>
      </c>
      <c r="V62" s="774"/>
      <c r="W62" s="774"/>
      <c r="X62" s="774"/>
      <c r="Y62" s="930"/>
      <c r="Z62" s="777"/>
      <c r="AA62" s="780"/>
      <c r="AB62" s="777"/>
      <c r="AC62" s="777"/>
      <c r="AD62" s="777"/>
    </row>
    <row r="63" spans="1:30" ht="18" customHeight="1">
      <c r="A63" s="776"/>
      <c r="B63" s="829">
        <v>46</v>
      </c>
      <c r="C63" s="774"/>
      <c r="D63" s="897" t="s">
        <v>2236</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214</v>
      </c>
      <c r="Q63" s="887"/>
      <c r="R63" s="887"/>
      <c r="S63" s="887"/>
      <c r="T63" s="774"/>
      <c r="U63" s="774" t="s">
        <v>2237</v>
      </c>
      <c r="V63" s="774"/>
      <c r="W63" s="774"/>
      <c r="X63" s="774"/>
      <c r="Y63" s="930"/>
      <c r="Z63" s="777"/>
      <c r="AA63" s="780"/>
      <c r="AB63" s="777"/>
      <c r="AC63" s="777"/>
      <c r="AD63" s="777"/>
    </row>
    <row r="64" spans="1:30" ht="18" customHeight="1">
      <c r="A64" s="776"/>
      <c r="B64" s="829">
        <v>47</v>
      </c>
      <c r="C64" s="774"/>
      <c r="D64" s="897" t="s">
        <v>2238</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215</v>
      </c>
      <c r="Q64" s="887"/>
      <c r="R64" s="887"/>
      <c r="S64" s="887"/>
      <c r="T64" s="774"/>
      <c r="U64" s="774" t="s">
        <v>2239</v>
      </c>
      <c r="V64" s="774"/>
      <c r="W64" s="774"/>
      <c r="X64" s="774"/>
      <c r="Y64" s="930"/>
      <c r="Z64" s="777"/>
      <c r="AA64" s="780" t="s">
        <v>2240</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2153</v>
      </c>
      <c r="Q65" s="887"/>
      <c r="R65" s="887"/>
      <c r="S65" s="887"/>
      <c r="T65" s="774"/>
      <c r="U65" s="774" t="s">
        <v>2241</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2157</v>
      </c>
      <c r="Q66" s="887"/>
      <c r="R66" s="887"/>
      <c r="S66" s="887"/>
      <c r="T66" s="774"/>
      <c r="U66" s="774" t="s">
        <v>2242</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2243</v>
      </c>
      <c r="Q67" s="887"/>
      <c r="R67" s="887"/>
      <c r="S67" s="887"/>
      <c r="T67" s="774"/>
      <c r="U67" s="774" t="s">
        <v>2244</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2245</v>
      </c>
      <c r="Q68" s="887"/>
      <c r="R68" s="887"/>
      <c r="S68" s="887"/>
      <c r="T68" s="774"/>
      <c r="U68" s="774" t="s">
        <v>2246</v>
      </c>
      <c r="V68" s="774"/>
      <c r="W68" s="774"/>
      <c r="X68" s="774"/>
      <c r="Y68" s="930"/>
      <c r="Z68" s="777"/>
      <c r="AA68" s="780"/>
      <c r="AB68" s="777"/>
      <c r="AC68" s="777"/>
      <c r="AD68" s="777"/>
    </row>
    <row r="69" spans="1:30" ht="9" customHeight="1">
      <c r="A69" s="776"/>
      <c r="B69" s="829">
        <v>52</v>
      </c>
      <c r="C69" s="774"/>
      <c r="D69" s="897" t="s">
        <v>2247</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216</v>
      </c>
      <c r="Q69" s="887"/>
      <c r="R69" s="887"/>
      <c r="S69" s="887"/>
      <c r="T69" s="774"/>
      <c r="U69" s="774" t="s">
        <v>2248</v>
      </c>
      <c r="V69" s="774"/>
      <c r="W69" s="774"/>
      <c r="X69" s="774"/>
      <c r="Y69" s="930"/>
      <c r="Z69" s="777"/>
      <c r="AA69" s="780"/>
      <c r="AB69" s="777"/>
      <c r="AC69" s="777"/>
      <c r="AD69" s="777"/>
    </row>
    <row r="70" spans="1:30" ht="27" customHeight="1">
      <c r="A70" s="776"/>
      <c r="B70" s="829">
        <v>53</v>
      </c>
      <c r="C70" s="774"/>
      <c r="D70" s="897"/>
      <c r="E70" s="774" t="s">
        <v>2232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2249</v>
      </c>
      <c r="W70" s="774"/>
      <c r="X70" s="774"/>
      <c r="Y70" s="930"/>
      <c r="Z70" s="777"/>
      <c r="AA70" s="780"/>
      <c r="AB70" s="777"/>
      <c r="AC70" s="777"/>
      <c r="AD70" s="777"/>
    </row>
    <row r="71" spans="1:30" ht="36" customHeight="1">
      <c r="A71" s="776"/>
      <c r="B71" s="829">
        <v>54</v>
      </c>
      <c r="C71" s="774"/>
      <c r="D71" s="897"/>
      <c r="E71" s="774" t="s">
        <v>2234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178</v>
      </c>
      <c r="R71" s="887"/>
      <c r="S71" s="887"/>
      <c r="T71" s="774"/>
      <c r="U71" s="774"/>
      <c r="V71" s="774" t="s">
        <v>2250</v>
      </c>
      <c r="W71" s="774"/>
      <c r="X71" s="774"/>
      <c r="Y71" s="930"/>
      <c r="Z71" s="777"/>
      <c r="AA71" s="780"/>
      <c r="AB71" s="777"/>
      <c r="AC71" s="777"/>
      <c r="AD71" s="777"/>
    </row>
    <row r="72" spans="1:30" ht="27" customHeight="1">
      <c r="A72" s="776"/>
      <c r="B72" s="829">
        <v>55</v>
      </c>
      <c r="C72" s="774"/>
      <c r="D72" s="897"/>
      <c r="E72" s="774" t="s">
        <v>2236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214</v>
      </c>
      <c r="R72" s="887"/>
      <c r="S72" s="887"/>
      <c r="T72" s="774"/>
      <c r="U72" s="774"/>
      <c r="V72" s="774" t="s">
        <v>2251</v>
      </c>
      <c r="W72" s="774"/>
      <c r="X72" s="774"/>
      <c r="Y72" s="930"/>
      <c r="Z72" s="777"/>
      <c r="AA72" s="780"/>
      <c r="AB72" s="777"/>
      <c r="AC72" s="777"/>
      <c r="AD72" s="777"/>
    </row>
    <row r="73" spans="1:30" ht="36" customHeight="1">
      <c r="A73" s="776"/>
      <c r="B73" s="829">
        <v>56</v>
      </c>
      <c r="C73" s="774"/>
      <c r="D73" s="897"/>
      <c r="E73" s="774" t="s">
        <v>2238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215</v>
      </c>
      <c r="R73" s="887"/>
      <c r="S73" s="887"/>
      <c r="T73" s="774"/>
      <c r="U73" s="774"/>
      <c r="V73" s="774" t="s">
        <v>2252</v>
      </c>
      <c r="W73" s="774"/>
      <c r="X73" s="774"/>
      <c r="Y73" s="930"/>
      <c r="Z73" s="777"/>
      <c r="AA73" s="780"/>
      <c r="AB73" s="777"/>
      <c r="AC73" s="777"/>
      <c r="AD73" s="777"/>
    </row>
    <row r="74" spans="1:30" ht="18" customHeight="1">
      <c r="A74" s="776"/>
      <c r="B74" s="829">
        <v>57</v>
      </c>
      <c r="C74" s="774"/>
      <c r="D74" s="897"/>
      <c r="E74" s="774" t="s">
        <v>2247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216</v>
      </c>
      <c r="R74" s="887"/>
      <c r="S74" s="887"/>
      <c r="T74" s="774"/>
      <c r="U74" s="774"/>
      <c r="V74" s="774" t="s">
        <v>2253</v>
      </c>
      <c r="W74" s="774"/>
      <c r="X74" s="774"/>
      <c r="Y74" s="930"/>
      <c r="Z74" s="777"/>
      <c r="AA74" s="780"/>
      <c r="AB74" s="777"/>
      <c r="AC74" s="777"/>
      <c r="AD74" s="777"/>
    </row>
    <row r="75" spans="1:30" ht="18" customHeight="1">
      <c r="A75" s="776"/>
      <c r="B75" s="829">
        <v>58</v>
      </c>
      <c r="C75" s="774"/>
      <c r="D75" s="897"/>
      <c r="E75" s="774"/>
      <c r="F75" s="774" t="s">
        <v>2232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2254</v>
      </c>
      <c r="X75" s="774"/>
      <c r="Y75" s="930"/>
      <c r="Z75" s="777"/>
      <c r="AA75" s="780"/>
      <c r="AB75" s="777"/>
      <c r="AC75" s="777"/>
      <c r="AD75" s="777"/>
    </row>
    <row r="76" spans="1:30" ht="36" customHeight="1">
      <c r="A76" s="776"/>
      <c r="B76" s="829">
        <v>59</v>
      </c>
      <c r="C76" s="774"/>
      <c r="D76" s="897"/>
      <c r="E76" s="774"/>
      <c r="F76" s="774" t="s">
        <v>2234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178</v>
      </c>
      <c r="S76" s="887"/>
      <c r="T76" s="774"/>
      <c r="U76" s="774"/>
      <c r="V76" s="774"/>
      <c r="W76" s="774" t="s">
        <v>2255</v>
      </c>
      <c r="X76" s="774"/>
      <c r="Y76" s="930"/>
      <c r="Z76" s="777"/>
      <c r="AA76" s="780"/>
      <c r="AB76" s="777"/>
      <c r="AC76" s="777"/>
      <c r="AD76" s="777"/>
    </row>
    <row r="77" spans="1:30" ht="18" customHeight="1">
      <c r="A77" s="776"/>
      <c r="B77" s="829">
        <v>60</v>
      </c>
      <c r="C77" s="774"/>
      <c r="D77" s="897"/>
      <c r="E77" s="774"/>
      <c r="F77" s="774" t="s">
        <v>2236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214</v>
      </c>
      <c r="S77" s="887"/>
      <c r="T77" s="774"/>
      <c r="U77" s="774"/>
      <c r="V77" s="774"/>
      <c r="W77" s="774" t="s">
        <v>2256</v>
      </c>
      <c r="X77" s="774"/>
      <c r="Y77" s="930"/>
      <c r="Z77" s="777"/>
      <c r="AA77" s="780"/>
      <c r="AB77" s="777"/>
      <c r="AC77" s="777"/>
      <c r="AD77" s="777"/>
    </row>
    <row r="78" spans="1:30" ht="72" customHeight="1">
      <c r="A78" s="776"/>
      <c r="B78" s="829">
        <v>61</v>
      </c>
      <c r="C78" s="774" t="s">
        <v>2232</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93</v>
      </c>
      <c r="P78" s="887"/>
      <c r="Q78" s="887"/>
      <c r="R78" s="887"/>
      <c r="S78" s="887"/>
      <c r="T78" s="774" t="s">
        <v>713</v>
      </c>
      <c r="U78" s="774"/>
      <c r="V78" s="774"/>
      <c r="W78" s="774"/>
      <c r="X78" s="774"/>
      <c r="Y78" s="930"/>
      <c r="Z78" s="777" t="s">
        <v>2257</v>
      </c>
      <c r="AA78" s="780"/>
      <c r="AB78" s="777"/>
      <c r="AC78" s="777"/>
      <c r="AD78" s="777"/>
    </row>
    <row r="79" spans="1:30" ht="36" customHeight="1">
      <c r="A79" s="776"/>
      <c r="B79" s="829">
        <v>62</v>
      </c>
      <c r="C79" s="774" t="s">
        <v>2234</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178</v>
      </c>
      <c r="P79" s="887"/>
      <c r="Q79" s="887"/>
      <c r="R79" s="887"/>
      <c r="S79" s="887"/>
      <c r="T79" s="774" t="s">
        <v>2258</v>
      </c>
      <c r="U79" s="774"/>
      <c r="V79" s="774"/>
      <c r="W79" s="774"/>
      <c r="X79" s="774"/>
      <c r="Y79" s="930"/>
      <c r="Z79" s="777" t="s">
        <v>2259</v>
      </c>
      <c r="AA79" s="780"/>
      <c r="AB79" s="777"/>
      <c r="AC79" s="777"/>
      <c r="AD79" s="777"/>
    </row>
    <row r="80" spans="1:30" ht="45" customHeight="1">
      <c r="A80" s="776"/>
      <c r="B80" s="829">
        <v>63</v>
      </c>
      <c r="C80" s="774" t="s">
        <v>2236</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214</v>
      </c>
      <c r="P80" s="887"/>
      <c r="Q80" s="887"/>
      <c r="R80" s="887"/>
      <c r="S80" s="887"/>
      <c r="T80" s="774" t="s">
        <v>2260</v>
      </c>
      <c r="U80" s="774"/>
      <c r="V80" s="774"/>
      <c r="W80" s="774"/>
      <c r="X80" s="774"/>
      <c r="Y80" s="930"/>
      <c r="Z80" s="777" t="s">
        <v>2261</v>
      </c>
      <c r="AA80" s="780"/>
      <c r="AB80" s="777"/>
      <c r="AC80" s="777"/>
      <c r="AD80" s="777"/>
    </row>
    <row r="81" spans="1:30" ht="36" customHeight="1">
      <c r="A81" s="776"/>
      <c r="B81" s="829">
        <v>64</v>
      </c>
      <c r="C81" s="774" t="s">
        <v>2238</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2144</v>
      </c>
      <c r="P81" s="887"/>
      <c r="Q81" s="887"/>
      <c r="R81" s="887"/>
      <c r="S81" s="887"/>
      <c r="T81" s="774" t="s">
        <v>2262</v>
      </c>
      <c r="U81" s="774"/>
      <c r="V81" s="774"/>
      <c r="W81" s="774"/>
      <c r="X81" s="774"/>
      <c r="Y81" s="930"/>
      <c r="Z81" s="777" t="s">
        <v>2263</v>
      </c>
      <c r="AA81" s="780"/>
      <c r="AB81" s="777"/>
      <c r="AC81" s="777"/>
      <c r="AD81" s="777"/>
    </row>
    <row r="82" spans="1:30" ht="90" customHeight="1">
      <c r="A82" s="776"/>
      <c r="B82" s="829">
        <v>65</v>
      </c>
      <c r="C82" s="774" t="s">
        <v>2247</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215</v>
      </c>
      <c r="P82" s="887"/>
      <c r="Q82" s="887"/>
      <c r="R82" s="887"/>
      <c r="S82" s="887"/>
      <c r="T82" s="774" t="s">
        <v>2264</v>
      </c>
      <c r="U82" s="774"/>
      <c r="V82" s="774"/>
      <c r="W82" s="774"/>
      <c r="X82" s="774"/>
      <c r="Y82" s="930"/>
      <c r="Z82" s="777" t="s">
        <v>2265</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2153</v>
      </c>
      <c r="P83" s="887"/>
      <c r="Q83" s="887"/>
      <c r="R83" s="887"/>
      <c r="S83" s="887"/>
      <c r="T83" s="774" t="s">
        <v>2266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2267</v>
      </c>
      <c r="P84" s="887"/>
      <c r="Q84" s="887"/>
      <c r="R84" s="887"/>
      <c r="S84" s="887"/>
      <c r="T84" s="774" t="s">
        <v>2268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2157</v>
      </c>
      <c r="P85" s="887"/>
      <c r="Q85" s="887"/>
      <c r="R85" s="887"/>
      <c r="S85" s="887"/>
      <c r="T85" s="774" t="s">
        <v>2269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2270</v>
      </c>
      <c r="P86" s="887"/>
      <c r="Q86" s="887"/>
      <c r="R86" s="887"/>
      <c r="S86" s="887"/>
      <c r="T86" s="774" t="s">
        <v>2271</v>
      </c>
      <c r="U86" s="774"/>
      <c r="V86" s="774"/>
      <c r="W86" s="774"/>
      <c r="X86" s="774"/>
      <c r="Y86" s="930"/>
      <c r="Z86" s="777"/>
      <c r="AA86" s="780"/>
      <c r="AB86" s="777"/>
      <c r="AC86" s="777"/>
      <c r="AD86" s="777"/>
    </row>
    <row r="87" spans="1:30" ht="36" customHeight="1">
      <c r="A87" s="776"/>
      <c r="B87" s="829">
        <v>70</v>
      </c>
      <c r="C87" s="774" t="s">
        <v>2272</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216</v>
      </c>
      <c r="P87" s="887"/>
      <c r="Q87" s="887"/>
      <c r="R87" s="887"/>
      <c r="S87" s="887"/>
      <c r="T87" s="774" t="s">
        <v>2273</v>
      </c>
      <c r="U87" s="774"/>
      <c r="V87" s="774"/>
      <c r="W87" s="774"/>
      <c r="X87" s="774"/>
      <c r="Y87" s="930"/>
      <c r="Z87" s="777"/>
      <c r="AA87" s="780"/>
      <c r="AB87" s="777"/>
      <c r="AC87" s="777"/>
      <c r="AD87" s="777"/>
    </row>
    <row r="88" spans="1:30" ht="18" customHeight="1">
      <c r="A88" s="776"/>
      <c r="B88" s="829">
        <v>71</v>
      </c>
      <c r="C88" s="774" t="s">
        <v>2274</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217</v>
      </c>
      <c r="P88" s="887"/>
      <c r="Q88" s="887"/>
      <c r="R88" s="887"/>
      <c r="S88" s="887"/>
      <c r="T88" s="774" t="s">
        <v>745</v>
      </c>
      <c r="U88" s="774"/>
      <c r="V88" s="774"/>
      <c r="W88" s="774"/>
      <c r="X88" s="774"/>
      <c r="Y88" s="930"/>
      <c r="Z88" s="777"/>
      <c r="AA88" s="780"/>
      <c r="AB88" s="777"/>
      <c r="AC88" s="777"/>
      <c r="AD88" s="777"/>
    </row>
    <row r="89" spans="1:30" ht="18" customHeight="1">
      <c r="A89" s="776"/>
      <c r="B89" s="829">
        <v>72</v>
      </c>
      <c r="C89" s="774" t="s">
        <v>2275</v>
      </c>
      <c r="D89" s="897" t="s">
        <v>2272</v>
      </c>
      <c r="E89" s="774" t="s">
        <v>2272</v>
      </c>
      <c r="F89" s="774" t="s">
        <v>2238</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218</v>
      </c>
      <c r="P89" s="887" t="s">
        <v>217</v>
      </c>
      <c r="Q89" s="887" t="s">
        <v>217</v>
      </c>
      <c r="R89" s="887" t="s">
        <v>215</v>
      </c>
      <c r="S89" s="887"/>
      <c r="T89" s="774" t="s">
        <v>753</v>
      </c>
      <c r="U89" s="774" t="s">
        <v>753</v>
      </c>
      <c r="V89" s="774" t="s">
        <v>753</v>
      </c>
      <c r="W89" s="774" t="s">
        <v>753</v>
      </c>
      <c r="X89" s="774"/>
      <c r="Y89" s="930"/>
      <c r="Z89" s="777"/>
      <c r="AA89" s="780"/>
      <c r="AB89" s="777"/>
      <c r="AC89" s="777"/>
      <c r="AD89" s="777"/>
    </row>
    <row r="90" spans="1:30" ht="27" customHeight="1">
      <c r="A90" s="776"/>
      <c r="B90" s="829">
        <v>73</v>
      </c>
      <c r="C90" s="774" t="s">
        <v>2276</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219</v>
      </c>
      <c r="P90" s="887"/>
      <c r="Q90" s="887"/>
      <c r="R90" s="887"/>
      <c r="S90" s="887"/>
      <c r="T90" s="774" t="s">
        <v>755</v>
      </c>
      <c r="U90" s="774"/>
      <c r="V90" s="774"/>
      <c r="W90" s="774"/>
      <c r="X90" s="774"/>
      <c r="Y90" s="930"/>
      <c r="Z90" s="777"/>
      <c r="AA90" s="780"/>
      <c r="AB90" s="777"/>
      <c r="AC90" s="777"/>
      <c r="AD90" s="777"/>
    </row>
    <row r="91" spans="1:30" ht="18" customHeight="1">
      <c r="A91" s="776"/>
      <c r="B91" s="829">
        <v>74</v>
      </c>
      <c r="C91" s="774"/>
      <c r="D91" s="897" t="s">
        <v>2274</v>
      </c>
      <c r="E91" s="774" t="s">
        <v>2274</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218</v>
      </c>
      <c r="Q91" s="887" t="s">
        <v>218</v>
      </c>
      <c r="R91" s="887"/>
      <c r="S91" s="887"/>
      <c r="T91" s="774"/>
      <c r="U91" s="774" t="s">
        <v>2277</v>
      </c>
      <c r="V91" s="774" t="s">
        <v>2277</v>
      </c>
      <c r="W91" s="774"/>
      <c r="X91" s="774"/>
      <c r="Y91" s="930"/>
      <c r="Z91" s="777"/>
      <c r="AA91" s="780"/>
      <c r="AB91" s="777"/>
      <c r="AC91" s="777"/>
      <c r="AD91" s="777"/>
    </row>
    <row r="92" spans="1:30" ht="27" customHeight="1">
      <c r="A92" s="776"/>
      <c r="B92" s="829">
        <v>75</v>
      </c>
      <c r="C92" s="774"/>
      <c r="D92" s="897" t="s">
        <v>2275</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219</v>
      </c>
      <c r="Q92" s="887"/>
      <c r="R92" s="887"/>
      <c r="S92" s="887"/>
      <c r="T92" s="774"/>
      <c r="U92" s="774" t="s">
        <v>2278</v>
      </c>
      <c r="V92" s="774"/>
      <c r="W92" s="774"/>
      <c r="X92" s="774"/>
      <c r="Y92" s="930"/>
      <c r="Z92" s="777"/>
      <c r="AA92" s="780" t="s">
        <v>2279</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2185</v>
      </c>
      <c r="Q93" s="887"/>
      <c r="R93" s="887"/>
      <c r="S93" s="887"/>
      <c r="T93" s="774"/>
      <c r="U93" s="774" t="s">
        <v>2280</v>
      </c>
      <c r="V93" s="774"/>
      <c r="W93" s="774"/>
      <c r="X93" s="774"/>
      <c r="Y93" s="930"/>
      <c r="Z93" s="777"/>
      <c r="AA93" s="780" t="s">
        <v>2281</v>
      </c>
      <c r="AB93" s="777"/>
      <c r="AC93" s="777"/>
      <c r="AD93" s="777"/>
    </row>
    <row r="94" spans="1:30" ht="45" customHeight="1">
      <c r="A94" s="776"/>
      <c r="B94" s="829">
        <v>77</v>
      </c>
      <c r="C94" s="774"/>
      <c r="D94" s="897" t="s">
        <v>2276</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1540</v>
      </c>
      <c r="Q94" s="887"/>
      <c r="R94" s="887"/>
      <c r="S94" s="887"/>
      <c r="T94" s="774"/>
      <c r="U94" s="774" t="s">
        <v>2282</v>
      </c>
      <c r="V94" s="774"/>
      <c r="W94" s="774"/>
      <c r="X94" s="774"/>
      <c r="Y94" s="930"/>
      <c r="Z94" s="777"/>
      <c r="AA94" s="780" t="s">
        <v>2283</v>
      </c>
      <c r="AB94" s="777"/>
      <c r="AC94" s="777"/>
      <c r="AD94" s="777"/>
    </row>
    <row r="95" spans="1:30" ht="99" customHeight="1">
      <c r="A95" s="776"/>
      <c r="B95" s="829">
        <v>78</v>
      </c>
      <c r="C95" s="774" t="s">
        <v>2284</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1540</v>
      </c>
      <c r="P95" s="887"/>
      <c r="Q95" s="887"/>
      <c r="R95" s="887"/>
      <c r="S95" s="887"/>
      <c r="T95" s="774" t="s">
        <v>2285</v>
      </c>
      <c r="U95" s="774"/>
      <c r="V95" s="774"/>
      <c r="W95" s="774"/>
      <c r="X95" s="774"/>
      <c r="Y95" s="930"/>
      <c r="Z95" s="777"/>
      <c r="AA95" s="780"/>
      <c r="AB95" s="777"/>
      <c r="AC95" s="777"/>
      <c r="AD95" s="777"/>
    </row>
    <row r="96" spans="1:30" ht="99" customHeight="1">
      <c r="A96" s="776"/>
      <c r="B96" s="829">
        <v>79</v>
      </c>
      <c r="C96" s="774" t="s">
        <v>1226</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1546</v>
      </c>
      <c r="P96" s="887"/>
      <c r="Q96" s="887"/>
      <c r="R96" s="887"/>
      <c r="S96" s="887"/>
      <c r="T96" s="774" t="s">
        <v>2286</v>
      </c>
      <c r="U96" s="774"/>
      <c r="V96" s="774"/>
      <c r="W96" s="774"/>
      <c r="X96" s="774"/>
      <c r="Y96" s="930"/>
      <c r="Z96" s="777" t="s">
        <v>2287</v>
      </c>
      <c r="AA96" s="780"/>
      <c r="AB96" s="777"/>
      <c r="AC96" s="777"/>
      <c r="AD96" s="777"/>
    </row>
    <row r="97" spans="1:30" ht="63" customHeight="1">
      <c r="A97" s="776"/>
      <c r="B97" s="829">
        <v>80</v>
      </c>
      <c r="C97" s="774" t="s">
        <v>2288</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1558</v>
      </c>
      <c r="P97" s="887"/>
      <c r="Q97" s="887"/>
      <c r="R97" s="887"/>
      <c r="S97" s="887"/>
      <c r="T97" s="774" t="s">
        <v>2289</v>
      </c>
      <c r="U97" s="774"/>
      <c r="V97" s="774"/>
      <c r="W97" s="774"/>
      <c r="X97" s="774"/>
      <c r="Y97" s="930"/>
      <c r="Z97" s="777" t="s">
        <v>2290</v>
      </c>
      <c r="AA97" s="780"/>
      <c r="AB97" s="777"/>
      <c r="AC97" s="777"/>
      <c r="AD97" s="777"/>
    </row>
    <row r="98" spans="1:30" ht="63" customHeight="1">
      <c r="A98" s="776"/>
      <c r="B98" s="829">
        <v>81</v>
      </c>
      <c r="C98" s="774" t="s">
        <v>2291</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1572</v>
      </c>
      <c r="P98" s="887"/>
      <c r="Q98" s="887"/>
      <c r="R98" s="887"/>
      <c r="S98" s="887"/>
      <c r="T98" s="774" t="s">
        <v>2292</v>
      </c>
      <c r="U98" s="774"/>
      <c r="V98" s="774"/>
      <c r="W98" s="774"/>
      <c r="X98" s="774"/>
      <c r="Y98" s="930"/>
      <c r="Z98" s="777" t="s">
        <v>2290</v>
      </c>
      <c r="AA98" s="780"/>
      <c r="AB98" s="777"/>
      <c r="AC98" s="777"/>
      <c r="AD98" s="777"/>
    </row>
    <row r="99" spans="1:30" ht="90" customHeight="1">
      <c r="A99" s="776"/>
      <c r="B99" s="829">
        <v>82</v>
      </c>
      <c r="C99" s="774" t="s">
        <v>2293</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1584</v>
      </c>
      <c r="P99" s="887"/>
      <c r="Q99" s="887"/>
      <c r="R99" s="887"/>
      <c r="S99" s="887"/>
      <c r="T99" s="774" t="s">
        <v>2294</v>
      </c>
      <c r="U99" s="774"/>
      <c r="V99" s="774"/>
      <c r="W99" s="774"/>
      <c r="X99" s="774"/>
      <c r="Y99" s="930"/>
      <c r="Z99" s="777" t="s">
        <v>710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2295</v>
      </c>
      <c r="P100" s="887"/>
      <c r="Q100" s="887"/>
      <c r="R100" s="887"/>
      <c r="S100" s="887"/>
      <c r="T100" s="774" t="s">
        <v>2296</v>
      </c>
      <c r="U100" s="774"/>
      <c r="V100" s="774"/>
      <c r="W100" s="774"/>
      <c r="X100" s="774"/>
      <c r="Y100" s="930"/>
      <c r="Z100" s="777" t="s">
        <v>710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2297</v>
      </c>
      <c r="P101" s="887"/>
      <c r="Q101" s="887"/>
      <c r="R101" s="887"/>
      <c r="S101" s="887"/>
      <c r="T101" s="774" t="s">
        <v>2298</v>
      </c>
      <c r="U101" s="774"/>
      <c r="V101" s="774"/>
      <c r="W101" s="774"/>
      <c r="X101" s="774"/>
      <c r="Y101" s="930"/>
      <c r="Z101" s="777" t="s">
        <v>710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1738</v>
      </c>
      <c r="B148" s="776"/>
      <c r="C148" s="774" t="s">
        <v>2299</v>
      </c>
      <c r="D148" s="774" t="s">
        <v>1640</v>
      </c>
      <c r="E148" s="774" t="s">
        <v>1740</v>
      </c>
      <c r="F148" s="774" t="s">
        <v>2300</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2301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2302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1742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1745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1749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9"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870" t="s">
        <v>2303</v>
      </c>
      <c r="M5" s="2870"/>
      <c r="N5" s="2870"/>
      <c r="O5" s="2870"/>
      <c r="P5" s="2870"/>
      <c r="Q5" s="2870"/>
      <c r="R5" s="2870"/>
      <c r="S5" s="2870"/>
      <c r="T5" s="2870"/>
      <c r="U5" s="2870"/>
      <c r="V5" s="1170"/>
      <c r="AD5" s="1082">
        <v>64</v>
      </c>
    </row>
    <row r="6" spans="1:30" ht="14.65" customHeight="1">
      <c r="J6" s="313"/>
      <c r="K6" s="313"/>
      <c r="L6" s="2871"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871"/>
      <c r="N6" s="2871"/>
      <c r="O6" s="2871"/>
      <c r="P6" s="2871"/>
      <c r="Q6" s="2871"/>
      <c r="R6" s="2871"/>
      <c r="S6" s="2871"/>
      <c r="T6" s="2871"/>
      <c r="U6" s="28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594" t="str">
        <f>IF(TITLE_NAME_OR_PR_CHANGE="",IF(TITLE_NAME_OR_PR="","",TITLE_NAME_OR_PR),TITLE_NAME_OR_PR_CHANGE)</f>
        <v>Региональная служба по тарифам Ростовской области</v>
      </c>
      <c r="P8" s="2594"/>
      <c r="Q8" s="2594"/>
      <c r="R8" s="2594"/>
      <c r="S8" s="2594"/>
      <c r="T8" s="2594"/>
      <c r="U8" s="259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501</v>
      </c>
      <c r="N9" s="241"/>
      <c r="O9" s="2594">
        <f>IF(TITLE_DATE_CHANGE_PERIOD="",IF(TITLE_DATE_PR="","",TITLE_DATE_PR),TITLE_DATE_CHANGE_PERIOD)</f>
        <v>45596.468541666669</v>
      </c>
      <c r="P9" s="2594"/>
      <c r="Q9" s="2594"/>
      <c r="R9" s="2594"/>
      <c r="S9" s="2594"/>
      <c r="T9" s="2594"/>
      <c r="U9" s="259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502</v>
      </c>
      <c r="N10" s="241"/>
      <c r="O10" s="2594" t="str">
        <f>IF(TITLE_NUMBER_PR_CHANGE="",IF(TITLE_NUMBER_PR="","",TITLE_NUMBER_PR),TITLE_NUMBER_PR_CHANGE)</f>
        <v>440,503</v>
      </c>
      <c r="P10" s="2594"/>
      <c r="Q10" s="2594"/>
      <c r="R10" s="2594"/>
      <c r="S10" s="2594"/>
      <c r="T10" s="2594"/>
      <c r="U10" s="259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594" t="str">
        <f>IF(TITLE_IST_PUB_CHANGE="",IF(TITLE_IST_PUB="","",TITLE_IST_PUB),TITLE_IST_PUB_CHANGE)</f>
        <v>Региональная служба по тарифам Ростовской области</v>
      </c>
      <c r="P11" s="2594"/>
      <c r="Q11" s="2594"/>
      <c r="R11" s="2594"/>
      <c r="S11" s="2594"/>
      <c r="T11" s="2594"/>
      <c r="U11" s="259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869"/>
      <c r="M12" s="2869"/>
      <c r="N12" s="1214"/>
      <c r="O12" s="263"/>
      <c r="P12" s="263"/>
      <c r="Q12" s="263"/>
      <c r="R12" s="263"/>
      <c r="S12" s="263"/>
      <c r="T12" s="263"/>
      <c r="U12" s="263"/>
      <c r="V12" s="215" t="s">
        <v>505</v>
      </c>
      <c r="Y12" s="305"/>
      <c r="Z12" s="305"/>
      <c r="AA12" s="305"/>
      <c r="AB12" s="305"/>
      <c r="AC12" s="305"/>
      <c r="AD12" s="355">
        <v>0</v>
      </c>
    </row>
    <row r="13" spans="1:30" ht="14.65" customHeight="1">
      <c r="J13" s="313"/>
      <c r="K13" s="313"/>
      <c r="L13" s="1202"/>
      <c r="M13" s="300"/>
      <c r="N13" s="1171"/>
      <c r="O13" s="2613"/>
      <c r="P13" s="2613"/>
      <c r="Q13" s="2613"/>
      <c r="R13" s="2613"/>
      <c r="S13" s="2613"/>
      <c r="T13" s="2613"/>
      <c r="U13" s="2613"/>
      <c r="V13" s="2613"/>
      <c r="AD13" s="1082">
        <v>14</v>
      </c>
    </row>
    <row r="14" spans="1:30" ht="14.65" customHeight="1">
      <c r="J14" s="313"/>
      <c r="K14" s="313"/>
      <c r="L14" s="2461" t="s">
        <v>380</v>
      </c>
      <c r="M14" s="2461"/>
      <c r="N14" s="2461"/>
      <c r="O14" s="2461"/>
      <c r="P14" s="2461"/>
      <c r="Q14" s="2461"/>
      <c r="R14" s="2461"/>
      <c r="S14" s="2461"/>
      <c r="T14" s="2461"/>
      <c r="U14" s="2461"/>
      <c r="V14" s="2461"/>
      <c r="W14" s="2461"/>
      <c r="X14" s="2461" t="s">
        <v>381</v>
      </c>
      <c r="AD14" s="1082">
        <v>14</v>
      </c>
    </row>
    <row r="15" spans="1:30" ht="14.65" customHeight="1">
      <c r="J15" s="313"/>
      <c r="K15" s="313"/>
      <c r="L15" s="2614" t="s">
        <v>88</v>
      </c>
      <c r="M15" s="2563" t="s">
        <v>506</v>
      </c>
      <c r="N15" s="238"/>
      <c r="O15" s="2615" t="s">
        <v>2304</v>
      </c>
      <c r="P15" s="2616"/>
      <c r="Q15" s="2616"/>
      <c r="R15" s="2616"/>
      <c r="S15" s="2616"/>
      <c r="T15" s="2616"/>
      <c r="U15" s="2617"/>
      <c r="V15" s="2618" t="s">
        <v>508</v>
      </c>
      <c r="W15" s="2621" t="s">
        <v>1223</v>
      </c>
      <c r="X15" s="2461"/>
      <c r="AD15" s="1082">
        <v>14</v>
      </c>
    </row>
    <row r="16" spans="1:30" ht="35.65" customHeight="1">
      <c r="J16" s="313"/>
      <c r="K16" s="313"/>
      <c r="L16" s="2614"/>
      <c r="M16" s="2563"/>
      <c r="N16" s="961"/>
      <c r="O16" s="2535" t="s">
        <v>511</v>
      </c>
      <c r="P16" s="2535" t="s">
        <v>512</v>
      </c>
      <c r="Q16" s="2442" t="s">
        <v>513</v>
      </c>
      <c r="R16" s="2441"/>
      <c r="S16" s="2442" t="s">
        <v>526</v>
      </c>
      <c r="T16" s="2448"/>
      <c r="U16" s="2441"/>
      <c r="V16" s="2619"/>
      <c r="W16" s="2622"/>
      <c r="X16" s="2461"/>
      <c r="AD16" s="1082">
        <v>34</v>
      </c>
    </row>
    <row r="17" spans="1:30" ht="35.65" customHeight="1">
      <c r="A17" s="1297" t="s">
        <v>200</v>
      </c>
      <c r="B17" s="1297" t="s">
        <v>201</v>
      </c>
      <c r="C17" s="1297" t="s">
        <v>202</v>
      </c>
      <c r="D17" s="1297" t="s">
        <v>203</v>
      </c>
      <c r="E17" s="1297"/>
      <c r="J17" s="313"/>
      <c r="K17" s="313"/>
      <c r="L17" s="2614"/>
      <c r="M17" s="2563"/>
      <c r="N17" s="239"/>
      <c r="O17" s="2587"/>
      <c r="P17" s="2587"/>
      <c r="Q17" s="1149" t="s">
        <v>522</v>
      </c>
      <c r="R17" s="1149" t="s">
        <v>523</v>
      </c>
      <c r="S17" s="1219" t="s">
        <v>524</v>
      </c>
      <c r="T17" s="2568" t="s">
        <v>525</v>
      </c>
      <c r="U17" s="2581"/>
      <c r="V17" s="2620"/>
      <c r="W17" s="2623"/>
      <c r="X17" s="2461"/>
      <c r="AD17" s="1082">
        <v>34</v>
      </c>
    </row>
    <row r="18" spans="1:30" s="1568" customFormat="1" ht="11.45" customHeight="1">
      <c r="A18" s="1297"/>
      <c r="B18" s="1297"/>
      <c r="C18" s="1297"/>
      <c r="D18" s="1297"/>
      <c r="E18" s="1297"/>
      <c r="F18" s="1289"/>
      <c r="G18" s="1289"/>
      <c r="H18" s="1289"/>
      <c r="I18" s="1173"/>
      <c r="J18" s="1174"/>
      <c r="K18" s="1181">
        <v>1</v>
      </c>
      <c r="L18" s="1204" t="s">
        <v>177</v>
      </c>
      <c r="M18" s="1182" t="s">
        <v>102</v>
      </c>
      <c r="N18" s="1172" t="str">
        <f ca="1">OFFSET(N18,0,-1)</f>
        <v>2</v>
      </c>
      <c r="O18" s="1216">
        <f ca="1">OFFSET(O18,0,-1)+1</f>
        <v>3</v>
      </c>
      <c r="P18" s="1216"/>
      <c r="Q18" s="1216">
        <f ca="1">OFFSET(Q18,0,-1)+1</f>
        <v>1</v>
      </c>
      <c r="R18" s="1216">
        <f ca="1">OFFSET(R18,0,-1)+1</f>
        <v>2</v>
      </c>
      <c r="S18" s="1216">
        <f ca="1">OFFSET(S18,0,-1)+1</f>
        <v>3</v>
      </c>
      <c r="T18" s="2612">
        <f ca="1">OFFSET(T18,0,-1)+1</f>
        <v>4</v>
      </c>
      <c r="U18" s="2612"/>
      <c r="V18" s="1216">
        <f ca="1">OFFSET(V18,0,-2)+1</f>
        <v>5</v>
      </c>
      <c r="W18" s="1172">
        <f ca="1">OFFSET(W18,0,-1)</f>
        <v>5</v>
      </c>
      <c r="X18" s="1216">
        <f ca="1">OFFSET(X18,0,-1)+1</f>
        <v>6</v>
      </c>
      <c r="Y18" s="448"/>
      <c r="Z18" s="448"/>
      <c r="AA18" s="448"/>
      <c r="AB18" s="448"/>
      <c r="AC18" s="448"/>
      <c r="AD18" s="433">
        <v>11</v>
      </c>
    </row>
    <row r="19" spans="1:30" ht="21" customHeight="1">
      <c r="A19" s="1290" t="s">
        <v>234</v>
      </c>
      <c r="B19" s="1290" t="s">
        <v>235</v>
      </c>
      <c r="C19" s="1290" t="s">
        <v>236</v>
      </c>
      <c r="D19" s="1290" t="s">
        <v>237</v>
      </c>
      <c r="E19" s="1290"/>
      <c r="F19" s="1292"/>
      <c r="G19" s="1292"/>
      <c r="H19" s="1292"/>
      <c r="I19" s="298"/>
      <c r="J19" s="297"/>
      <c r="K19" s="292"/>
      <c r="L19" s="1220">
        <f>INDEX(PT_DIFFERENTIATION_NUM_NTAR,MATCH(A19,PT_DIFFERENTIATION_NTAR_ID,0))</f>
        <v>0</v>
      </c>
      <c r="M19" s="235" t="s">
        <v>189</v>
      </c>
      <c r="N19" s="237"/>
      <c r="O19" s="2868" t="str">
        <f>INDEX(PT_DIFFERENTIATION_NTAR,MATCH(A19,PT_DIFFERENTIATION_NTAR_ID,0))</f>
        <v/>
      </c>
      <c r="P19" s="2868"/>
      <c r="Q19" s="2868"/>
      <c r="R19" s="2868"/>
      <c r="S19" s="2868"/>
      <c r="T19" s="2868"/>
      <c r="U19" s="2868"/>
      <c r="V19" s="2868"/>
      <c r="W19" s="2868"/>
      <c r="X19" s="1185" t="s">
        <v>476</v>
      </c>
      <c r="Z19" s="437"/>
      <c r="AA19" s="437" t="str">
        <f t="shared" ref="AA19:AA32" si="0">IF(M19="","",M19)</f>
        <v>Наименование тарифа</v>
      </c>
      <c r="AB19" s="437"/>
      <c r="AC19" s="437"/>
      <c r="AD19" s="1082">
        <v>20</v>
      </c>
    </row>
    <row r="20" spans="1:30" ht="21" customHeight="1">
      <c r="A20" s="1290" t="s">
        <v>234</v>
      </c>
      <c r="B20" s="1290" t="s">
        <v>235</v>
      </c>
      <c r="C20" s="1290" t="s">
        <v>236</v>
      </c>
      <c r="D20" s="1290" t="s">
        <v>237</v>
      </c>
      <c r="E20" s="1290"/>
      <c r="F20" s="1292"/>
      <c r="G20" s="1292"/>
      <c r="H20" s="1292"/>
      <c r="I20" s="1217"/>
      <c r="J20" s="289"/>
      <c r="K20" s="290"/>
      <c r="L20" s="1220" t="str">
        <f>INDEX(PT_DIFFERENTIATION_NUM_TER,MATCH(B19,PT_DIFFERENTIATION_TER_ID,0))</f>
        <v>.</v>
      </c>
      <c r="M20" s="245" t="s">
        <v>477</v>
      </c>
      <c r="N20" s="237"/>
      <c r="O20" s="2868" t="str">
        <f>INDEX(PT_DIFFERENTIATION_TER,MATCH(B19,PT_DIFFERENTIATION_TER_ID,0))</f>
        <v/>
      </c>
      <c r="P20" s="2868"/>
      <c r="Q20" s="2868"/>
      <c r="R20" s="2868"/>
      <c r="S20" s="2868"/>
      <c r="T20" s="2868"/>
      <c r="U20" s="2868"/>
      <c r="V20" s="2868"/>
      <c r="W20" s="2868"/>
      <c r="X20" s="1185" t="s">
        <v>478</v>
      </c>
      <c r="Z20" s="437"/>
      <c r="AA20" s="437" t="str">
        <f t="shared" si="0"/>
        <v>Территория действия тарифа</v>
      </c>
      <c r="AB20" s="437"/>
      <c r="AC20" s="437"/>
      <c r="AD20" s="1082">
        <v>20</v>
      </c>
    </row>
    <row r="21" spans="1:30" ht="24" customHeight="1">
      <c r="A21" s="1290" t="s">
        <v>234</v>
      </c>
      <c r="B21" s="1290" t="s">
        <v>235</v>
      </c>
      <c r="C21" s="1290" t="s">
        <v>236</v>
      </c>
      <c r="D21" s="1290" t="s">
        <v>237</v>
      </c>
      <c r="E21" s="1290"/>
      <c r="F21" s="1292"/>
      <c r="G21" s="1292"/>
      <c r="H21" s="1292"/>
      <c r="I21" s="291"/>
      <c r="J21" s="289"/>
      <c r="K21" s="290"/>
      <c r="L21" s="1220" t="str">
        <f>INDEX(PT_DIFFERENTIATION_NUM_CS,MATCH(C19,PT_DIFFERENTIATION_CS_ID,0))</f>
        <v>..</v>
      </c>
      <c r="M21" s="246" t="s">
        <v>479</v>
      </c>
      <c r="N21" s="237"/>
      <c r="O21" s="2868" t="str">
        <f>INDEX(PT_DIFFERENTIATION_CS,MATCH(C19,PT_DIFFERENTIATION_CS_ID,0))</f>
        <v/>
      </c>
      <c r="P21" s="2868"/>
      <c r="Q21" s="2868"/>
      <c r="R21" s="2868"/>
      <c r="S21" s="2868"/>
      <c r="T21" s="2868"/>
      <c r="U21" s="2868"/>
      <c r="V21" s="2868"/>
      <c r="W21" s="2868"/>
      <c r="X21" s="1185" t="s">
        <v>480</v>
      </c>
      <c r="Z21" s="437"/>
      <c r="AA21" s="437" t="str">
        <f t="shared" si="0"/>
        <v xml:space="preserve">Наименование системы теплоснабжения </v>
      </c>
      <c r="AB21" s="437"/>
      <c r="AC21" s="437"/>
      <c r="AD21" s="1082">
        <v>23</v>
      </c>
    </row>
    <row r="22" spans="1:30" ht="21" customHeight="1">
      <c r="A22" s="1290" t="s">
        <v>234</v>
      </c>
      <c r="B22" s="1290" t="s">
        <v>235</v>
      </c>
      <c r="C22" s="1290" t="s">
        <v>236</v>
      </c>
      <c r="D22" s="1290" t="s">
        <v>237</v>
      </c>
      <c r="E22" s="1290"/>
      <c r="F22" s="1292"/>
      <c r="G22" s="1292"/>
      <c r="H22" s="1292"/>
      <c r="I22" s="291"/>
      <c r="J22" s="289"/>
      <c r="K22" s="290"/>
      <c r="L22" s="1220" t="str">
        <f>INDEX(PT_DIFFERENTIATION_NUM_IST_TE,MATCH(D19,PT_DIFFERENTIATION_IST_TE_ID,0))</f>
        <v>...</v>
      </c>
      <c r="M22" s="247" t="s">
        <v>481</v>
      </c>
      <c r="N22" s="237"/>
      <c r="O22" s="2868" t="str">
        <f>INDEX(PT_DIFFERENTIATION_IST_TE,MATCH(D19,PT_DIFFERENTIATION_IST_TE_ID,0))</f>
        <v/>
      </c>
      <c r="P22" s="2868"/>
      <c r="Q22" s="2868"/>
      <c r="R22" s="2868"/>
      <c r="S22" s="2868"/>
      <c r="T22" s="2868"/>
      <c r="U22" s="2868"/>
      <c r="V22" s="2868"/>
      <c r="W22" s="2868"/>
      <c r="X22" s="1185" t="s">
        <v>482</v>
      </c>
      <c r="Z22" s="437"/>
      <c r="AA22" s="437" t="str">
        <f t="shared" si="0"/>
        <v xml:space="preserve">Источник тепловой энергии  </v>
      </c>
      <c r="AB22" s="437"/>
      <c r="AC22" s="437"/>
      <c r="AD22" s="1082">
        <v>20</v>
      </c>
    </row>
    <row r="23" spans="1:30" ht="96.75" customHeight="1">
      <c r="A23" s="1290" t="s">
        <v>234</v>
      </c>
      <c r="B23" s="1290" t="s">
        <v>235</v>
      </c>
      <c r="C23" s="1290" t="s">
        <v>236</v>
      </c>
      <c r="D23" s="1290" t="s">
        <v>237</v>
      </c>
      <c r="E23" s="1290"/>
      <c r="F23" s="2446" t="str">
        <f>L22&amp;".1"</f>
        <v>....1</v>
      </c>
      <c r="I23" s="2605">
        <v>1</v>
      </c>
      <c r="J23" s="1218"/>
      <c r="K23" s="293"/>
      <c r="L23" s="1220" t="str">
        <f>$F$23</f>
        <v>....1</v>
      </c>
      <c r="M23" s="222" t="s">
        <v>484</v>
      </c>
      <c r="N23" s="237"/>
      <c r="O23" s="2635"/>
      <c r="P23" s="2635"/>
      <c r="Q23" s="2635"/>
      <c r="R23" s="2635"/>
      <c r="S23" s="2635"/>
      <c r="T23" s="2635"/>
      <c r="U23" s="2635"/>
      <c r="V23" s="2635"/>
      <c r="W23" s="2635"/>
      <c r="X23" s="1185" t="s">
        <v>485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234</v>
      </c>
      <c r="B24" s="1290" t="s">
        <v>235</v>
      </c>
      <c r="C24" s="1290" t="s">
        <v>236</v>
      </c>
      <c r="D24" s="1290" t="s">
        <v>237</v>
      </c>
      <c r="E24" s="1290"/>
      <c r="F24" s="2446"/>
      <c r="G24" s="2446" t="str">
        <f>F23&amp;".1"</f>
        <v>....1.1</v>
      </c>
      <c r="I24" s="2605"/>
      <c r="J24" s="2605">
        <v>1</v>
      </c>
      <c r="K24" s="294"/>
      <c r="L24" s="1220" t="str">
        <f>$G$24</f>
        <v>....1.1</v>
      </c>
      <c r="M24" s="223" t="s">
        <v>487</v>
      </c>
      <c r="N24" s="237"/>
      <c r="O24" s="2589"/>
      <c r="P24" s="2590"/>
      <c r="Q24" s="2590"/>
      <c r="R24" s="2590"/>
      <c r="S24" s="2590"/>
      <c r="T24" s="2590"/>
      <c r="U24" s="2590"/>
      <c r="V24" s="2590"/>
      <c r="W24" s="2591"/>
      <c r="X24" s="1185" t="s">
        <v>488</v>
      </c>
      <c r="Z24" s="437"/>
      <c r="AA24" s="437" t="str">
        <f t="shared" si="0"/>
        <v>Группа потребителей</v>
      </c>
      <c r="AB24" s="437"/>
      <c r="AC24" s="437"/>
      <c r="AD24" s="1082">
        <v>82</v>
      </c>
    </row>
    <row r="25" spans="1:30" ht="11.45" customHeight="1">
      <c r="A25" s="1290" t="s">
        <v>234</v>
      </c>
      <c r="B25" s="1290" t="s">
        <v>235</v>
      </c>
      <c r="C25" s="1290" t="s">
        <v>236</v>
      </c>
      <c r="D25" s="1290" t="s">
        <v>237</v>
      </c>
      <c r="E25" s="1290"/>
      <c r="F25" s="2446"/>
      <c r="G25" s="2446"/>
      <c r="H25" s="2446" t="str">
        <f>G24&amp;".1"</f>
        <v>....1.1.1</v>
      </c>
      <c r="I25" s="2605"/>
      <c r="J25" s="2605"/>
      <c r="K25" s="294">
        <v>1</v>
      </c>
      <c r="L25" s="1220" t="str">
        <f>$H$25</f>
        <v>....1.1.1</v>
      </c>
      <c r="M25" s="1274"/>
      <c r="N25" s="237"/>
      <c r="O25" s="688"/>
      <c r="P25" s="262"/>
      <c r="Q25" s="688"/>
      <c r="R25" s="1184"/>
      <c r="S25" s="2606"/>
      <c r="T25" s="2471" t="s">
        <v>66</v>
      </c>
      <c r="U25" s="2606"/>
      <c r="V25" s="2471" t="s">
        <v>19</v>
      </c>
      <c r="W25" s="262"/>
      <c r="X25" s="2624" t="s">
        <v>490</v>
      </c>
      <c r="Y25" s="448" t="e">
        <f ca="1">STRCHECKDATE(O26:W26)</f>
        <v>#NAME?</v>
      </c>
      <c r="Z25" s="437"/>
      <c r="AA25" s="437" t="str">
        <f t="shared" si="0"/>
        <v/>
      </c>
      <c r="AB25" s="437"/>
      <c r="AC25" s="437"/>
      <c r="AD25" s="1082">
        <v>11</v>
      </c>
    </row>
    <row r="26" spans="1:30" ht="11.45" customHeight="1">
      <c r="A26" s="1290" t="s">
        <v>234</v>
      </c>
      <c r="B26" s="1290" t="s">
        <v>235</v>
      </c>
      <c r="C26" s="1290" t="s">
        <v>236</v>
      </c>
      <c r="D26" s="1290" t="s">
        <v>237</v>
      </c>
      <c r="E26" s="1290"/>
      <c r="F26" s="2446"/>
      <c r="G26" s="2446"/>
      <c r="H26" s="2446"/>
      <c r="I26" s="2605"/>
      <c r="J26" s="2605"/>
      <c r="K26" s="294"/>
      <c r="L26" s="1221"/>
      <c r="M26" s="237"/>
      <c r="N26" s="237"/>
      <c r="O26" s="262"/>
      <c r="P26" s="262"/>
      <c r="Q26" s="262"/>
      <c r="R26" s="265" t="str">
        <f>S25&amp;"-"&amp;U25</f>
        <v>-</v>
      </c>
      <c r="S26" s="2607"/>
      <c r="T26" s="2471"/>
      <c r="U26" s="2607"/>
      <c r="V26" s="2471"/>
      <c r="W26" s="262"/>
      <c r="X26" s="2625"/>
      <c r="Z26" s="437"/>
      <c r="AA26" s="437" t="str">
        <f t="shared" si="0"/>
        <v/>
      </c>
      <c r="AB26" s="437"/>
      <c r="AC26" s="437"/>
      <c r="AD26" s="1082">
        <v>11</v>
      </c>
    </row>
    <row r="27" spans="1:30" ht="15.75" customHeight="1">
      <c r="A27" s="1290" t="s">
        <v>234</v>
      </c>
      <c r="B27" s="1290" t="s">
        <v>235</v>
      </c>
      <c r="C27" s="1290" t="s">
        <v>236</v>
      </c>
      <c r="D27" s="1290" t="s">
        <v>237</v>
      </c>
      <c r="E27" s="1290"/>
      <c r="F27" s="2446"/>
      <c r="G27" s="2446"/>
      <c r="I27" s="2605"/>
      <c r="J27" s="2605"/>
      <c r="K27" s="293"/>
      <c r="L27" s="1205"/>
      <c r="M27" s="225" t="s">
        <v>491</v>
      </c>
      <c r="N27" s="304"/>
      <c r="O27" s="304"/>
      <c r="P27" s="304"/>
      <c r="Q27" s="304"/>
      <c r="R27" s="304"/>
      <c r="S27" s="304"/>
      <c r="T27" s="304"/>
      <c r="U27" s="304"/>
      <c r="V27" s="304"/>
      <c r="W27" s="261"/>
      <c r="X27" s="2626"/>
      <c r="Z27" s="437"/>
      <c r="AA27" s="437" t="str">
        <f t="shared" si="0"/>
        <v>Добавить вид теплоносителя (параметры теплоносителя)</v>
      </c>
      <c r="AB27" s="437"/>
      <c r="AC27" s="437"/>
      <c r="AD27" s="1082">
        <v>15</v>
      </c>
    </row>
    <row r="28" spans="1:30" ht="15.75" customHeight="1">
      <c r="A28" s="1290" t="s">
        <v>234</v>
      </c>
      <c r="B28" s="1290" t="s">
        <v>235</v>
      </c>
      <c r="C28" s="1290" t="s">
        <v>236</v>
      </c>
      <c r="D28" s="1290" t="s">
        <v>237</v>
      </c>
      <c r="E28" s="1290"/>
      <c r="F28" s="2446"/>
      <c r="I28" s="2605"/>
      <c r="J28" s="1218"/>
      <c r="K28" s="293"/>
      <c r="L28" s="1205"/>
      <c r="M28" s="224" t="s">
        <v>492</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234</v>
      </c>
      <c r="B29" s="1290" t="s">
        <v>235</v>
      </c>
      <c r="C29" s="1290" t="s">
        <v>236</v>
      </c>
      <c r="D29" s="1290" t="s">
        <v>237</v>
      </c>
      <c r="E29" s="1290"/>
      <c r="F29" s="1292"/>
      <c r="G29" s="1292"/>
      <c r="H29" s="474"/>
      <c r="I29" s="297"/>
      <c r="J29" s="312"/>
      <c r="K29" s="292"/>
      <c r="L29" s="1205"/>
      <c r="M29" s="302" t="s">
        <v>493</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234</v>
      </c>
      <c r="B30" s="1290" t="s">
        <v>235</v>
      </c>
      <c r="C30" s="1290" t="s">
        <v>236</v>
      </c>
      <c r="D30" s="1290"/>
      <c r="E30" s="1290" t="s">
        <v>665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234</v>
      </c>
      <c r="B31" s="1290" t="s">
        <v>235</v>
      </c>
      <c r="C31" s="1290"/>
      <c r="D31" s="1290"/>
      <c r="E31" s="1290" t="s">
        <v>2305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2306</v>
      </c>
      <c r="B32" s="1290"/>
      <c r="C32" s="1290"/>
      <c r="D32" s="1290"/>
      <c r="E32" s="1290" t="s">
        <v>172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300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882</v>
      </c>
      <c r="M35" s="2600" t="s">
        <v>2307</v>
      </c>
      <c r="N35" s="2600"/>
      <c r="O35" s="2600"/>
      <c r="P35" s="2600"/>
      <c r="Q35" s="2600"/>
      <c r="R35" s="2600"/>
      <c r="S35" s="2600"/>
      <c r="T35" s="2600"/>
      <c r="U35" s="2600"/>
      <c r="V35" s="2600"/>
      <c r="W35" s="2600"/>
      <c r="X35" s="2600"/>
      <c r="AD35" s="1082">
        <v>27</v>
      </c>
    </row>
    <row r="36" spans="1:30" ht="109.15" customHeight="1">
      <c r="H36" s="474"/>
      <c r="I36" s="1230"/>
      <c r="M36" s="2600" t="s">
        <v>2308</v>
      </c>
      <c r="N36" s="2600"/>
      <c r="O36" s="2600"/>
      <c r="P36" s="2600"/>
      <c r="Q36" s="2600"/>
      <c r="R36" s="2600"/>
      <c r="S36" s="2600"/>
      <c r="T36" s="2600"/>
      <c r="U36" s="2600"/>
      <c r="V36" s="2600"/>
      <c r="W36" s="2600"/>
      <c r="X36" s="260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379</v>
      </c>
      <c r="J1" s="392" t="s">
        <v>14</v>
      </c>
    </row>
    <row r="2" spans="1:10" ht="11.25" hidden="1" customHeight="1">
      <c r="J2" s="392">
        <v>0</v>
      </c>
    </row>
    <row r="3" spans="1:10" s="414" customFormat="1" ht="11.45" customHeight="1">
      <c r="A3" s="1613"/>
      <c r="B3" s="438"/>
      <c r="D3" s="415"/>
      <c r="J3" s="414">
        <v>11</v>
      </c>
    </row>
    <row r="4" spans="1:10" ht="27.4" customHeight="1">
      <c r="D4" s="2511" t="str">
        <f>ORG_INFO_NAME_FORM</f>
        <v>Форма 1. Информация об организации, осуществляющей холодное водоснабжение (общая информация)</v>
      </c>
      <c r="E4" s="2512"/>
      <c r="F4" s="2513"/>
      <c r="I4" s="652"/>
      <c r="J4" s="392">
        <v>26</v>
      </c>
    </row>
    <row r="5" spans="1:10" ht="18" customHeight="1">
      <c r="D5"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555"/>
      <c r="F5" s="2555"/>
      <c r="I5" s="652"/>
      <c r="J5" s="392">
        <v>17</v>
      </c>
    </row>
    <row r="6" spans="1:10" s="414" customFormat="1" ht="11.45" customHeight="1">
      <c r="A6" s="1613"/>
      <c r="B6" s="438"/>
      <c r="D6" s="651"/>
      <c r="E6" s="651"/>
      <c r="F6" s="689"/>
      <c r="G6" s="651"/>
      <c r="J6" s="414">
        <v>11</v>
      </c>
    </row>
    <row r="7" spans="1:10" ht="11.25" hidden="1" customHeight="1">
      <c r="A7" s="394"/>
      <c r="B7" s="439"/>
      <c r="C7" s="394"/>
      <c r="D7" s="400"/>
      <c r="E7" s="2561"/>
      <c r="F7" s="2561"/>
      <c r="J7" s="392">
        <v>0</v>
      </c>
    </row>
    <row r="8" spans="1:10" ht="11.45" customHeight="1">
      <c r="A8" s="394"/>
      <c r="B8" s="439"/>
      <c r="C8" s="394"/>
      <c r="D8" s="2558" t="s">
        <v>380</v>
      </c>
      <c r="E8" s="2559"/>
      <c r="F8" s="2559"/>
      <c r="G8" s="2562" t="s">
        <v>381</v>
      </c>
      <c r="J8" s="392">
        <v>11</v>
      </c>
    </row>
    <row r="9" spans="1:10" ht="11.45" customHeight="1">
      <c r="A9" s="394"/>
      <c r="B9" s="439"/>
      <c r="C9" s="394"/>
      <c r="D9" s="409" t="s">
        <v>88</v>
      </c>
      <c r="E9" s="383" t="s">
        <v>382</v>
      </c>
      <c r="F9" s="383" t="s">
        <v>383</v>
      </c>
      <c r="G9" s="2563"/>
      <c r="J9" s="392">
        <v>11</v>
      </c>
    </row>
    <row r="10" spans="1:10" ht="12" hidden="1" customHeight="1">
      <c r="A10" s="394"/>
      <c r="B10" s="439"/>
      <c r="C10" s="394"/>
      <c r="D10" s="401"/>
      <c r="E10" s="401"/>
      <c r="F10" s="401"/>
      <c r="G10" s="401"/>
      <c r="J10" s="392">
        <v>0</v>
      </c>
    </row>
    <row r="11" spans="1:10" ht="22.5" hidden="1" customHeight="1">
      <c r="A11" s="394"/>
      <c r="B11" s="439"/>
      <c r="C11" s="394"/>
      <c r="D11" s="939" t="s">
        <v>177</v>
      </c>
      <c r="E11" s="942" t="s">
        <v>384</v>
      </c>
      <c r="F11" s="941" t="str">
        <f>IF(region_name="","",region_name)</f>
        <v>Ростовская область</v>
      </c>
      <c r="G11" s="942" t="s">
        <v>385</v>
      </c>
      <c r="H11" s="412"/>
      <c r="J11" s="392">
        <v>0</v>
      </c>
    </row>
    <row r="12" spans="1:10" ht="22.5" hidden="1" customHeight="1">
      <c r="A12" s="394"/>
      <c r="B12" s="439"/>
      <c r="C12" s="394"/>
      <c r="D12" s="382" t="s">
        <v>177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386</v>
      </c>
      <c r="G12" s="411"/>
      <c r="H12" s="412"/>
      <c r="J12" s="392">
        <v>0</v>
      </c>
    </row>
    <row r="13" spans="1:10" ht="23.25" customHeight="1">
      <c r="A13" s="394"/>
      <c r="B13" s="439"/>
      <c r="C13" s="394"/>
      <c r="D13" s="382" t="s">
        <v>177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387</v>
      </c>
      <c r="E14" s="940" t="s">
        <v>388</v>
      </c>
      <c r="F14" s="941" t="str">
        <f>IF(inn="","",inn)</f>
        <v>7708503727</v>
      </c>
      <c r="G14" s="942" t="s">
        <v>389</v>
      </c>
      <c r="H14" s="412"/>
      <c r="J14" s="392">
        <v>0</v>
      </c>
    </row>
    <row r="15" spans="1:10" ht="22.5" hidden="1" customHeight="1">
      <c r="A15" s="394"/>
      <c r="B15" s="439"/>
      <c r="C15" s="394"/>
      <c r="D15" s="939" t="s">
        <v>390</v>
      </c>
      <c r="E15" s="940" t="s">
        <v>391</v>
      </c>
      <c r="F15" s="941" t="str">
        <f>IF(kpp="","",kpp)</f>
        <v>616745019</v>
      </c>
      <c r="G15" s="942" t="s">
        <v>392</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556" t="s">
        <v>393</v>
      </c>
      <c r="B19" s="439"/>
      <c r="C19" s="2567"/>
      <c r="D19" s="382" t="str">
        <f>A19</f>
        <v>5.1</v>
      </c>
      <c r="E19" s="379" t="s">
        <v>394</v>
      </c>
      <c r="F19" s="380" t="s">
        <v>386</v>
      </c>
      <c r="G19" s="381" t="s">
        <v>395</v>
      </c>
      <c r="H19" s="412"/>
      <c r="I19" s="783"/>
      <c r="J19" s="392">
        <v>0</v>
      </c>
    </row>
    <row r="20" spans="1:10" ht="24" hidden="1" customHeight="1">
      <c r="A20" s="2556"/>
      <c r="B20" s="439"/>
      <c r="C20" s="2567"/>
      <c r="D20" s="377" t="str">
        <f>D19&amp;".1"</f>
        <v>5.1.1</v>
      </c>
      <c r="E20" s="376" t="s">
        <v>396</v>
      </c>
      <c r="F20" s="811" t="s">
        <v>28</v>
      </c>
      <c r="G20" s="411"/>
      <c r="H20" s="412"/>
      <c r="I20" s="783"/>
      <c r="J20" s="392">
        <v>0</v>
      </c>
    </row>
    <row r="21" spans="1:10" ht="22.5" hidden="1" customHeight="1">
      <c r="A21" s="2556"/>
      <c r="B21" s="439"/>
      <c r="C21" s="2567"/>
      <c r="D21" s="377" t="str">
        <f>D19&amp;".2"</f>
        <v>5.1.2</v>
      </c>
      <c r="E21" s="376" t="s">
        <v>397</v>
      </c>
      <c r="F21" s="1660" t="s">
        <v>28</v>
      </c>
      <c r="G21" s="381" t="s">
        <v>398</v>
      </c>
      <c r="H21" s="412"/>
      <c r="I21" s="783"/>
      <c r="J21" s="392">
        <v>0</v>
      </c>
    </row>
    <row r="22" spans="1:10" ht="22.5" hidden="1" customHeight="1">
      <c r="A22" s="2556"/>
      <c r="B22" s="439"/>
      <c r="C22" s="2567"/>
      <c r="D22" s="377" t="str">
        <f>D19&amp;".3"</f>
        <v>5.1.3</v>
      </c>
      <c r="E22" s="376" t="s">
        <v>399</v>
      </c>
      <c r="F22" s="811" t="s">
        <v>28</v>
      </c>
      <c r="G22" s="411"/>
      <c r="H22" s="412"/>
      <c r="I22" s="783"/>
      <c r="J22" s="392">
        <v>0</v>
      </c>
    </row>
    <row r="23" spans="1:10" ht="22.5" hidden="1" customHeight="1">
      <c r="A23" s="2556"/>
      <c r="B23" s="439"/>
      <c r="C23" s="2567"/>
      <c r="D23" s="377" t="str">
        <f>D19&amp;".4"</f>
        <v>5.1.4</v>
      </c>
      <c r="E23" s="376" t="s">
        <v>400</v>
      </c>
      <c r="F23" s="811" t="s">
        <v>28</v>
      </c>
      <c r="G23" s="381" t="s">
        <v>401</v>
      </c>
      <c r="H23" s="412"/>
      <c r="I23" s="783"/>
      <c r="J23" s="392">
        <v>0</v>
      </c>
    </row>
    <row r="24" spans="1:10" ht="22.5" hidden="1" customHeight="1">
      <c r="A24" s="1901"/>
      <c r="B24" s="439"/>
      <c r="C24" s="429"/>
      <c r="D24" s="404"/>
      <c r="E24" s="1095" t="s">
        <v>402</v>
      </c>
      <c r="F24" s="405"/>
      <c r="G24" s="406"/>
      <c r="H24" s="412"/>
      <c r="I24" s="783"/>
      <c r="J24" s="392">
        <v>0</v>
      </c>
    </row>
    <row r="25" spans="1:10" s="438" customFormat="1" ht="24.75" hidden="1" customHeight="1">
      <c r="A25" s="394"/>
      <c r="B25" s="439"/>
      <c r="C25" s="439"/>
      <c r="D25" s="936" t="s">
        <v>90</v>
      </c>
      <c r="E25" s="938" t="s">
        <v>403</v>
      </c>
      <c r="F25" s="943" t="s">
        <v>386</v>
      </c>
      <c r="G25" s="938"/>
      <c r="J25" s="438">
        <v>0</v>
      </c>
    </row>
    <row r="26" spans="1:10" s="438" customFormat="1" ht="11.25" hidden="1" customHeight="1">
      <c r="A26" s="394"/>
      <c r="B26" s="439"/>
      <c r="C26" s="439"/>
      <c r="D26" s="936" t="s">
        <v>404</v>
      </c>
      <c r="E26" s="937" t="s">
        <v>405</v>
      </c>
      <c r="F26" s="943" t="s">
        <v>386</v>
      </c>
      <c r="G26" s="938"/>
      <c r="J26" s="438">
        <v>0</v>
      </c>
    </row>
    <row r="27" spans="1:10" s="438" customFormat="1" ht="11.25" hidden="1" customHeight="1">
      <c r="A27" s="394"/>
      <c r="B27" s="439"/>
      <c r="C27" s="439"/>
      <c r="D27" s="936" t="s">
        <v>406</v>
      </c>
      <c r="E27" s="944" t="s">
        <v>407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408</v>
      </c>
      <c r="E28" s="944" t="s">
        <v>409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410</v>
      </c>
      <c r="E29" s="944" t="s">
        <v>411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412</v>
      </c>
      <c r="E30" s="937" t="s">
        <v>413</v>
      </c>
      <c r="F30" s="945"/>
      <c r="G30" s="938"/>
      <c r="J30" s="438">
        <v>0</v>
      </c>
    </row>
    <row r="31" spans="1:10" s="438" customFormat="1" ht="11.25" hidden="1" customHeight="1">
      <c r="A31" s="394"/>
      <c r="B31" s="439"/>
      <c r="C31" s="439"/>
      <c r="D31" s="936" t="s">
        <v>414</v>
      </c>
      <c r="E31" s="937" t="s">
        <v>415</v>
      </c>
      <c r="F31" s="945"/>
      <c r="G31" s="938"/>
      <c r="J31" s="438">
        <v>0</v>
      </c>
    </row>
    <row r="32" spans="1:10" s="438" customFormat="1" ht="11.25" hidden="1" customHeight="1">
      <c r="A32" s="394"/>
      <c r="B32" s="439"/>
      <c r="C32" s="439"/>
      <c r="D32" s="936" t="s">
        <v>416</v>
      </c>
      <c r="E32" s="937" t="s">
        <v>417</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386</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418</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418</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386</v>
      </c>
      <c r="G39" s="25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565"/>
      <c r="H40" s="412"/>
      <c r="J40" s="392">
        <v>0</v>
      </c>
    </row>
    <row r="41" spans="1:10" ht="23.25" customHeight="1">
      <c r="A41" s="394"/>
      <c r="B41" s="394"/>
      <c r="C41" s="1615"/>
      <c r="D41" s="377" t="str">
        <f>D39&amp;".1"</f>
        <v>8.1</v>
      </c>
      <c r="E41" s="791"/>
      <c r="F41" s="792"/>
      <c r="G41" s="2565"/>
      <c r="H41" s="412"/>
      <c r="J41" s="392">
        <v>22</v>
      </c>
    </row>
    <row r="42" spans="1:10" ht="15.75" customHeight="1">
      <c r="A42" s="394"/>
      <c r="B42" s="439"/>
      <c r="C42" s="394"/>
      <c r="D42" s="404"/>
      <c r="E42" s="352" t="s">
        <v>419</v>
      </c>
      <c r="F42" s="406"/>
      <c r="G42" s="256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420</v>
      </c>
      <c r="H44" s="412"/>
      <c r="J44" s="392">
        <v>22</v>
      </c>
    </row>
    <row r="45" spans="1:10" ht="23.25" customHeight="1">
      <c r="A45" s="394"/>
      <c r="B45" s="439"/>
      <c r="C45" s="394"/>
      <c r="D45" s="377">
        <f>D44+1</f>
        <v>11</v>
      </c>
      <c r="E45" s="375" t="s">
        <v>421</v>
      </c>
      <c r="F45" s="380" t="s">
        <v>386</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422</v>
      </c>
      <c r="H46" s="412"/>
      <c r="J46" s="392">
        <v>23</v>
      </c>
    </row>
    <row r="47" spans="1:10" ht="24" customHeight="1">
      <c r="A47" s="2556"/>
      <c r="B47" s="439"/>
      <c r="C47" s="429"/>
      <c r="D47" s="377" t="str">
        <f>D45&amp;".2"</f>
        <v>11.2</v>
      </c>
      <c r="E47" s="379" t="s">
        <v>423</v>
      </c>
      <c r="F47" s="427"/>
      <c r="G47" s="374" t="s">
        <v>424</v>
      </c>
      <c r="H47" s="412"/>
      <c r="J47" s="392">
        <v>23</v>
      </c>
    </row>
    <row r="48" spans="1:10" ht="24" customHeight="1">
      <c r="A48" s="2556"/>
      <c r="B48" s="439"/>
      <c r="C48" s="429"/>
      <c r="D48" s="377" t="str">
        <f>D45&amp;".3"</f>
        <v>11.3</v>
      </c>
      <c r="E48" s="379" t="s">
        <v>425</v>
      </c>
      <c r="F48" s="427"/>
      <c r="G48" s="374" t="s">
        <v>426</v>
      </c>
      <c r="H48" s="412"/>
      <c r="J48" s="392">
        <v>23</v>
      </c>
    </row>
    <row r="49" spans="1:10" ht="24" customHeight="1">
      <c r="A49" s="2556"/>
      <c r="B49" s="439"/>
      <c r="C49" s="429"/>
      <c r="D49" s="377" t="str">
        <f>IF(TEMPLATE_SPHERE="TKO",D45&amp;".0",D45&amp;".4")</f>
        <v>11.4</v>
      </c>
      <c r="E49" s="373" t="s">
        <v>427</v>
      </c>
      <c r="F49" s="1612"/>
      <c r="G49" s="1689" t="s">
        <v>428</v>
      </c>
      <c r="H49" s="412"/>
      <c r="J49" s="392">
        <v>23</v>
      </c>
    </row>
    <row r="50" spans="1:10" ht="24" customHeight="1">
      <c r="A50" s="394"/>
      <c r="B50" s="439"/>
      <c r="C50" s="394"/>
      <c r="D50" s="404"/>
      <c r="E50" s="352" t="s">
        <v>429</v>
      </c>
      <c r="F50" s="405"/>
      <c r="G50" s="1689" t="s">
        <v>430</v>
      </c>
      <c r="H50" s="413"/>
      <c r="J50" s="392">
        <v>23</v>
      </c>
    </row>
    <row r="51" spans="1:10" ht="24" customHeight="1">
      <c r="A51" s="789"/>
      <c r="B51" s="439"/>
      <c r="C51" s="429"/>
      <c r="D51" s="377">
        <f>D45+1</f>
        <v>12</v>
      </c>
      <c r="E51" s="465" t="s">
        <v>431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557"/>
      <c r="D53" s="256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560"/>
      <c r="F53" s="2560"/>
      <c r="G53" s="2560"/>
      <c r="H53" s="391"/>
      <c r="I53" s="391"/>
      <c r="J53" s="397">
        <v>30</v>
      </c>
    </row>
    <row r="54" spans="1:10" s="397" customFormat="1" ht="42" customHeight="1">
      <c r="A54" s="394"/>
      <c r="B54" s="439"/>
      <c r="C54" s="2557"/>
      <c r="D54" s="256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560"/>
      <c r="F54" s="2560"/>
      <c r="G54" s="256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2309</v>
      </c>
      <c r="B1" s="2025" t="s">
        <v>2310</v>
      </c>
      <c r="C1" s="2872" t="s">
        <v>2311</v>
      </c>
      <c r="D1" s="2873"/>
      <c r="E1" s="767" t="s">
        <v>2312</v>
      </c>
    </row>
    <row r="2" spans="1:5" ht="11.25" customHeight="1">
      <c r="A2" s="2026"/>
      <c r="B2" s="700" t="s">
        <v>26</v>
      </c>
      <c r="C2" s="690"/>
      <c r="D2" s="699"/>
      <c r="E2" s="767"/>
    </row>
    <row r="3" spans="1:5" ht="11.25" customHeight="1">
      <c r="A3" s="2027"/>
      <c r="B3" s="2028" t="s">
        <v>33</v>
      </c>
      <c r="C3" s="690"/>
      <c r="D3" s="699"/>
      <c r="E3" s="767"/>
    </row>
    <row r="4" spans="1:5" ht="11.25" customHeight="1">
      <c r="A4" s="2029"/>
      <c r="B4" s="701" t="s">
        <v>1738</v>
      </c>
      <c r="C4" s="690"/>
      <c r="D4" s="699"/>
      <c r="E4" s="767"/>
    </row>
    <row r="5" spans="1:5" ht="11.25" customHeight="1">
      <c r="A5" s="2030"/>
      <c r="B5" s="701" t="s">
        <v>1732</v>
      </c>
      <c r="C5" s="2031" t="s">
        <v>2076</v>
      </c>
      <c r="D5" s="2032" t="s">
        <v>2313</v>
      </c>
      <c r="E5" s="767"/>
    </row>
    <row r="6" spans="1:5" s="1776" customFormat="1" ht="11.25" customHeight="1">
      <c r="A6" s="2033"/>
      <c r="B6" s="701" t="s">
        <v>1742</v>
      </c>
      <c r="C6" s="690"/>
      <c r="D6" s="699"/>
      <c r="E6" s="767"/>
    </row>
    <row r="7" spans="1:5" ht="11.25" customHeight="1">
      <c r="A7" s="2034"/>
      <c r="B7" s="701" t="s">
        <v>1749</v>
      </c>
      <c r="C7" s="690"/>
      <c r="D7" s="699"/>
      <c r="E7" s="767"/>
    </row>
    <row r="8" spans="1:5" ht="11.25" customHeight="1">
      <c r="A8" s="692"/>
      <c r="B8" s="701" t="s">
        <v>1745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1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2314</v>
      </c>
      <c r="B1" s="7" t="s">
        <v>2315</v>
      </c>
      <c r="C1" s="7" t="s">
        <v>2316</v>
      </c>
      <c r="D1" s="7" t="s">
        <v>2317</v>
      </c>
      <c r="E1" s="7" t="s">
        <v>2318</v>
      </c>
      <c r="F1" s="7" t="s">
        <v>2319</v>
      </c>
      <c r="G1" s="7" t="s">
        <v>2320</v>
      </c>
      <c r="H1" s="7" t="s">
        <v>2321</v>
      </c>
      <c r="I1" s="7" t="s">
        <v>2322</v>
      </c>
    </row>
    <row r="2" spans="1:9" ht="11.25" customHeight="1">
      <c r="A2" s="1776" t="s">
        <v>2323</v>
      </c>
      <c r="B2" s="1776" t="s">
        <v>16</v>
      </c>
      <c r="C2" s="1776" t="s">
        <v>2324</v>
      </c>
      <c r="D2" s="1776" t="s">
        <v>2325</v>
      </c>
      <c r="E2" s="1776" t="s">
        <v>2326</v>
      </c>
      <c r="F2" s="1776" t="s">
        <v>2327</v>
      </c>
      <c r="G2" s="1776" t="s">
        <v>28</v>
      </c>
      <c r="H2" s="1776" t="s">
        <v>28</v>
      </c>
      <c r="I2" s="1776" t="s">
        <v>886</v>
      </c>
    </row>
    <row r="3" spans="1:9" ht="11.25" customHeight="1">
      <c r="A3" s="1776" t="s">
        <v>2323</v>
      </c>
      <c r="B3" s="1776" t="s">
        <v>16</v>
      </c>
      <c r="C3" s="1776" t="s">
        <v>2328</v>
      </c>
      <c r="D3" s="1776" t="s">
        <v>2329</v>
      </c>
      <c r="E3" s="1776" t="s">
        <v>2330</v>
      </c>
      <c r="F3" s="1776" t="s">
        <v>2331</v>
      </c>
      <c r="G3" s="1776" t="s">
        <v>28</v>
      </c>
      <c r="H3" s="1776" t="s">
        <v>28</v>
      </c>
      <c r="I3" s="1776" t="s">
        <v>886</v>
      </c>
    </row>
    <row r="4" spans="1:9" ht="11.25" customHeight="1">
      <c r="A4" s="1776" t="s">
        <v>2323</v>
      </c>
      <c r="B4" s="1776" t="s">
        <v>16</v>
      </c>
      <c r="C4" s="1776" t="s">
        <v>2332</v>
      </c>
      <c r="D4" s="1776" t="s">
        <v>2333</v>
      </c>
      <c r="E4" s="1776" t="s">
        <v>2334</v>
      </c>
      <c r="F4" s="1776" t="s">
        <v>2335</v>
      </c>
      <c r="G4" s="1776" t="s">
        <v>28</v>
      </c>
      <c r="H4" s="1776" t="s">
        <v>28</v>
      </c>
      <c r="I4" s="1776" t="s">
        <v>886</v>
      </c>
    </row>
    <row r="5" spans="1:9" ht="11.25" customHeight="1">
      <c r="A5" s="1776" t="s">
        <v>2323</v>
      </c>
      <c r="B5" s="1776" t="s">
        <v>16</v>
      </c>
      <c r="C5" s="1776" t="s">
        <v>2336</v>
      </c>
      <c r="D5" s="1776" t="s">
        <v>2337</v>
      </c>
      <c r="E5" s="1776" t="s">
        <v>2338</v>
      </c>
      <c r="F5" s="1776" t="s">
        <v>2339</v>
      </c>
      <c r="G5" s="1776" t="s">
        <v>28</v>
      </c>
      <c r="H5" s="1776" t="s">
        <v>28</v>
      </c>
      <c r="I5" s="1776" t="s">
        <v>886</v>
      </c>
    </row>
    <row r="6" spans="1:9" ht="11.25" customHeight="1">
      <c r="A6" s="1776" t="s">
        <v>2323</v>
      </c>
      <c r="B6" s="1776" t="s">
        <v>16</v>
      </c>
      <c r="C6" s="1776" t="s">
        <v>2340</v>
      </c>
      <c r="D6" s="1776" t="s">
        <v>2341</v>
      </c>
      <c r="E6" s="1776" t="s">
        <v>2342</v>
      </c>
      <c r="F6" s="1776" t="s">
        <v>2343</v>
      </c>
      <c r="G6" s="1776" t="s">
        <v>2344</v>
      </c>
      <c r="H6" s="1776" t="s">
        <v>28</v>
      </c>
      <c r="I6" s="1776" t="s">
        <v>886</v>
      </c>
    </row>
    <row r="7" spans="1:9" ht="11.25" customHeight="1">
      <c r="A7" s="1776" t="s">
        <v>2323</v>
      </c>
      <c r="B7" s="1776" t="s">
        <v>16</v>
      </c>
      <c r="C7" s="1776" t="s">
        <v>2345</v>
      </c>
      <c r="D7" s="1776" t="s">
        <v>2346</v>
      </c>
      <c r="E7" s="1776" t="s">
        <v>2347</v>
      </c>
      <c r="F7" s="1776" t="s">
        <v>2348</v>
      </c>
      <c r="G7" s="1776" t="s">
        <v>28</v>
      </c>
      <c r="H7" s="1776" t="s">
        <v>28</v>
      </c>
      <c r="I7" s="1776" t="s">
        <v>886</v>
      </c>
    </row>
    <row r="8" spans="1:9" ht="11.25" customHeight="1">
      <c r="A8" s="1776" t="s">
        <v>2323</v>
      </c>
      <c r="B8" s="1776" t="s">
        <v>16</v>
      </c>
      <c r="C8" s="1776" t="s">
        <v>2349</v>
      </c>
      <c r="D8" s="1776" t="s">
        <v>2350</v>
      </c>
      <c r="E8" s="1776" t="s">
        <v>2351</v>
      </c>
      <c r="F8" s="1776" t="s">
        <v>2352</v>
      </c>
      <c r="G8" s="1776" t="s">
        <v>2353</v>
      </c>
      <c r="H8" s="1776" t="s">
        <v>28</v>
      </c>
      <c r="I8" s="1776" t="s">
        <v>886</v>
      </c>
    </row>
    <row r="9" spans="1:9" ht="11.25" customHeight="1">
      <c r="A9" s="1776" t="s">
        <v>2323</v>
      </c>
      <c r="B9" s="1776" t="s">
        <v>16</v>
      </c>
      <c r="C9" s="1776" t="s">
        <v>2354</v>
      </c>
      <c r="D9" s="1776" t="s">
        <v>2355</v>
      </c>
      <c r="E9" s="1776" t="s">
        <v>2356</v>
      </c>
      <c r="F9" s="1776" t="s">
        <v>2357</v>
      </c>
      <c r="G9" s="1776" t="s">
        <v>28</v>
      </c>
      <c r="H9" s="1776" t="s">
        <v>28</v>
      </c>
      <c r="I9" s="1776" t="s">
        <v>886</v>
      </c>
    </row>
    <row r="10" spans="1:9" ht="11.25" customHeight="1">
      <c r="A10" s="1776" t="s">
        <v>2323</v>
      </c>
      <c r="B10" s="1776" t="s">
        <v>16</v>
      </c>
      <c r="C10" s="1776" t="s">
        <v>2358</v>
      </c>
      <c r="D10" s="1776" t="s">
        <v>2359</v>
      </c>
      <c r="E10" s="1776" t="s">
        <v>2360</v>
      </c>
      <c r="F10" s="1776" t="s">
        <v>2361</v>
      </c>
      <c r="G10" s="1776" t="s">
        <v>28</v>
      </c>
      <c r="H10" s="1776" t="s">
        <v>28</v>
      </c>
      <c r="I10" s="1776" t="s">
        <v>886</v>
      </c>
    </row>
    <row r="11" spans="1:9" ht="11.25" customHeight="1">
      <c r="A11" s="1776" t="s">
        <v>2323</v>
      </c>
      <c r="B11" s="1776" t="s">
        <v>16</v>
      </c>
      <c r="C11" s="1776" t="s">
        <v>2362</v>
      </c>
      <c r="D11" s="1776" t="s">
        <v>2363</v>
      </c>
      <c r="E11" s="1776" t="s">
        <v>2364</v>
      </c>
      <c r="F11" s="1776" t="s">
        <v>2365</v>
      </c>
      <c r="G11" s="1776" t="s">
        <v>2366</v>
      </c>
      <c r="H11" s="1776" t="s">
        <v>28</v>
      </c>
      <c r="I11" s="1776" t="s">
        <v>886</v>
      </c>
    </row>
    <row r="12" spans="1:9" ht="11.25" customHeight="1">
      <c r="A12" s="1776" t="s">
        <v>2323</v>
      </c>
      <c r="B12" s="1776" t="s">
        <v>16</v>
      </c>
      <c r="C12" s="1776" t="s">
        <v>2367</v>
      </c>
      <c r="D12" s="1776" t="s">
        <v>2368</v>
      </c>
      <c r="E12" s="1776" t="s">
        <v>2369</v>
      </c>
      <c r="F12" s="1776" t="s">
        <v>2370</v>
      </c>
      <c r="G12" s="1776" t="s">
        <v>28</v>
      </c>
      <c r="H12" s="1776" t="s">
        <v>28</v>
      </c>
      <c r="I12" s="1776" t="s">
        <v>886</v>
      </c>
    </row>
    <row r="13" spans="1:9" ht="11.25" customHeight="1">
      <c r="A13" s="1776" t="s">
        <v>2323</v>
      </c>
      <c r="B13" s="1776" t="s">
        <v>16</v>
      </c>
      <c r="C13" s="1776" t="s">
        <v>2371</v>
      </c>
      <c r="D13" s="1776" t="s">
        <v>2372</v>
      </c>
      <c r="E13" s="1776" t="s">
        <v>2373</v>
      </c>
      <c r="F13" s="1776" t="s">
        <v>2374</v>
      </c>
      <c r="G13" s="1776" t="s">
        <v>28</v>
      </c>
      <c r="H13" s="1776" t="s">
        <v>28</v>
      </c>
      <c r="I13" s="1776" t="s">
        <v>886</v>
      </c>
    </row>
    <row r="14" spans="1:9" ht="11.25" customHeight="1">
      <c r="A14" s="1776" t="s">
        <v>2323</v>
      </c>
      <c r="B14" s="1776" t="s">
        <v>16</v>
      </c>
      <c r="C14" s="1776" t="s">
        <v>2375</v>
      </c>
      <c r="D14" s="1776" t="s">
        <v>2376</v>
      </c>
      <c r="E14" s="1776" t="s">
        <v>2377</v>
      </c>
      <c r="F14" s="1776" t="s">
        <v>2378</v>
      </c>
      <c r="G14" s="1776" t="s">
        <v>28</v>
      </c>
      <c r="H14" s="1776" t="s">
        <v>28</v>
      </c>
      <c r="I14" s="1776" t="s">
        <v>886</v>
      </c>
    </row>
    <row r="15" spans="1:9" ht="11.25" customHeight="1">
      <c r="A15" s="1776" t="s">
        <v>2323</v>
      </c>
      <c r="B15" s="1776" t="s">
        <v>16</v>
      </c>
      <c r="C15" s="1776" t="s">
        <v>2379</v>
      </c>
      <c r="D15" s="1776" t="s">
        <v>2380</v>
      </c>
      <c r="E15" s="1776" t="s">
        <v>2381</v>
      </c>
      <c r="F15" s="1776" t="s">
        <v>2382</v>
      </c>
      <c r="G15" s="1776" t="s">
        <v>28</v>
      </c>
      <c r="H15" s="1776" t="s">
        <v>28</v>
      </c>
      <c r="I15" s="1776" t="s">
        <v>886</v>
      </c>
    </row>
    <row r="16" spans="1:9" ht="11.25" customHeight="1">
      <c r="A16" s="1776" t="s">
        <v>2323</v>
      </c>
      <c r="B16" s="1776" t="s">
        <v>16</v>
      </c>
      <c r="C16" s="1776" t="s">
        <v>2383</v>
      </c>
      <c r="D16" s="1776" t="s">
        <v>2384</v>
      </c>
      <c r="E16" s="1776" t="s">
        <v>2385</v>
      </c>
      <c r="F16" s="1776" t="s">
        <v>2386</v>
      </c>
      <c r="G16" s="1776" t="s">
        <v>2387</v>
      </c>
      <c r="H16" s="1776" t="s">
        <v>28</v>
      </c>
      <c r="I16" s="1776" t="s">
        <v>886</v>
      </c>
    </row>
    <row r="17" spans="1:9" ht="11.25" customHeight="1">
      <c r="A17" s="1776" t="s">
        <v>2323</v>
      </c>
      <c r="B17" s="1776" t="s">
        <v>16</v>
      </c>
      <c r="C17" s="1776" t="s">
        <v>2388</v>
      </c>
      <c r="D17" s="1776" t="s">
        <v>2389</v>
      </c>
      <c r="E17" s="1776" t="s">
        <v>2390</v>
      </c>
      <c r="F17" s="1776" t="s">
        <v>2391</v>
      </c>
      <c r="G17" s="1776" t="s">
        <v>28</v>
      </c>
      <c r="H17" s="1776" t="s">
        <v>28</v>
      </c>
      <c r="I17" s="1776" t="s">
        <v>886</v>
      </c>
    </row>
    <row r="18" spans="1:9" ht="11.25" customHeight="1">
      <c r="A18" s="1776" t="s">
        <v>2323</v>
      </c>
      <c r="B18" s="1776" t="s">
        <v>16</v>
      </c>
      <c r="C18" s="1776" t="s">
        <v>2392</v>
      </c>
      <c r="D18" s="1776" t="s">
        <v>2393</v>
      </c>
      <c r="E18" s="1776" t="s">
        <v>2394</v>
      </c>
      <c r="F18" s="1776" t="s">
        <v>2395</v>
      </c>
      <c r="G18" s="1776" t="s">
        <v>28</v>
      </c>
      <c r="H18" s="1776" t="s">
        <v>28</v>
      </c>
      <c r="I18" s="1776" t="s">
        <v>886</v>
      </c>
    </row>
    <row r="19" spans="1:9" ht="11.25" customHeight="1">
      <c r="A19" s="1776" t="s">
        <v>2323</v>
      </c>
      <c r="B19" s="1776" t="s">
        <v>16</v>
      </c>
      <c r="C19" s="1776" t="s">
        <v>2396</v>
      </c>
      <c r="D19" s="1776" t="s">
        <v>2397</v>
      </c>
      <c r="E19" s="1776" t="s">
        <v>2385</v>
      </c>
      <c r="F19" s="1776" t="s">
        <v>2398</v>
      </c>
      <c r="G19" s="1776" t="s">
        <v>28</v>
      </c>
      <c r="H19" s="1776" t="s">
        <v>28</v>
      </c>
      <c r="I19" s="1776" t="s">
        <v>886</v>
      </c>
    </row>
    <row r="20" spans="1:9" ht="11.25" customHeight="1">
      <c r="A20" s="1776" t="s">
        <v>2323</v>
      </c>
      <c r="B20" s="1776" t="s">
        <v>16</v>
      </c>
      <c r="C20" s="1776" t="s">
        <v>2399</v>
      </c>
      <c r="D20" s="1776" t="s">
        <v>2400</v>
      </c>
      <c r="E20" s="1776" t="s">
        <v>2401</v>
      </c>
      <c r="F20" s="1776" t="s">
        <v>2402</v>
      </c>
      <c r="G20" s="1776" t="s">
        <v>28</v>
      </c>
      <c r="H20" s="1776" t="s">
        <v>28</v>
      </c>
      <c r="I20" s="1776" t="s">
        <v>886</v>
      </c>
    </row>
    <row r="21" spans="1:9" ht="11.25" customHeight="1">
      <c r="A21" s="1776" t="s">
        <v>2323</v>
      </c>
      <c r="B21" s="1776" t="s">
        <v>16</v>
      </c>
      <c r="C21" s="1776" t="s">
        <v>2403</v>
      </c>
      <c r="D21" s="1776" t="s">
        <v>2404</v>
      </c>
      <c r="E21" s="1776" t="s">
        <v>2405</v>
      </c>
      <c r="F21" s="1776" t="s">
        <v>2382</v>
      </c>
      <c r="G21" s="1776" t="s">
        <v>28</v>
      </c>
      <c r="H21" s="1776" t="s">
        <v>28</v>
      </c>
      <c r="I21" s="1776" t="s">
        <v>886</v>
      </c>
    </row>
    <row r="22" spans="1:9" ht="11.25" customHeight="1">
      <c r="A22" s="1776" t="s">
        <v>2323</v>
      </c>
      <c r="B22" s="1776" t="s">
        <v>16</v>
      </c>
      <c r="C22" s="1776" t="s">
        <v>2406</v>
      </c>
      <c r="D22" s="1776" t="s">
        <v>2407</v>
      </c>
      <c r="E22" s="1776" t="s">
        <v>2408</v>
      </c>
      <c r="F22" s="1776" t="s">
        <v>2331</v>
      </c>
      <c r="G22" s="1776" t="s">
        <v>2409</v>
      </c>
      <c r="H22" s="1776" t="s">
        <v>28</v>
      </c>
      <c r="I22" s="1776" t="s">
        <v>886</v>
      </c>
    </row>
    <row r="23" spans="1:9" ht="11.25" customHeight="1">
      <c r="A23" s="1776" t="s">
        <v>2323</v>
      </c>
      <c r="B23" s="1776" t="s">
        <v>16</v>
      </c>
      <c r="C23" s="1776" t="s">
        <v>2410</v>
      </c>
      <c r="D23" s="1776" t="s">
        <v>2411</v>
      </c>
      <c r="E23" s="1776" t="s">
        <v>2412</v>
      </c>
      <c r="F23" s="1776" t="s">
        <v>2413</v>
      </c>
      <c r="G23" s="1776" t="s">
        <v>28</v>
      </c>
      <c r="H23" s="1776" t="s">
        <v>28</v>
      </c>
      <c r="I23" s="1776" t="s">
        <v>886</v>
      </c>
    </row>
    <row r="24" spans="1:9" ht="11.25" customHeight="1">
      <c r="A24" s="1776" t="s">
        <v>2323</v>
      </c>
      <c r="B24" s="1776" t="s">
        <v>16</v>
      </c>
      <c r="C24" s="1776" t="s">
        <v>2414</v>
      </c>
      <c r="D24" s="1776" t="s">
        <v>2415</v>
      </c>
      <c r="E24" s="1776" t="s">
        <v>2416</v>
      </c>
      <c r="F24" s="1776" t="s">
        <v>2370</v>
      </c>
      <c r="G24" s="1776" t="s">
        <v>28</v>
      </c>
      <c r="H24" s="1776" t="s">
        <v>28</v>
      </c>
      <c r="I24" s="1776" t="s">
        <v>886</v>
      </c>
    </row>
    <row r="25" spans="1:9" ht="11.25" customHeight="1">
      <c r="A25" s="1776" t="s">
        <v>2323</v>
      </c>
      <c r="B25" s="1776" t="s">
        <v>16</v>
      </c>
      <c r="C25" s="1776" t="s">
        <v>2417</v>
      </c>
      <c r="D25" s="1776" t="s">
        <v>2418</v>
      </c>
      <c r="E25" s="1776" t="s">
        <v>2419</v>
      </c>
      <c r="F25" s="1776" t="s">
        <v>2420</v>
      </c>
      <c r="G25" s="1776" t="s">
        <v>28</v>
      </c>
      <c r="H25" s="1776" t="s">
        <v>28</v>
      </c>
      <c r="I25" s="1776" t="s">
        <v>886</v>
      </c>
    </row>
    <row r="26" spans="1:9" ht="11.25" customHeight="1">
      <c r="A26" s="1776" t="s">
        <v>2323</v>
      </c>
      <c r="B26" s="1776" t="s">
        <v>16</v>
      </c>
      <c r="C26" s="1776" t="s">
        <v>2421</v>
      </c>
      <c r="D26" s="1776" t="s">
        <v>2422</v>
      </c>
      <c r="E26" s="1776" t="s">
        <v>2423</v>
      </c>
      <c r="F26" s="1776" t="s">
        <v>2370</v>
      </c>
      <c r="G26" s="1776" t="s">
        <v>28</v>
      </c>
      <c r="H26" s="1776" t="s">
        <v>28</v>
      </c>
      <c r="I26" s="1776" t="s">
        <v>886</v>
      </c>
    </row>
    <row r="27" spans="1:9" ht="11.25" customHeight="1">
      <c r="A27" s="1776" t="s">
        <v>2323</v>
      </c>
      <c r="B27" s="1776" t="s">
        <v>16</v>
      </c>
      <c r="C27" s="1776" t="s">
        <v>2424</v>
      </c>
      <c r="D27" s="1776" t="s">
        <v>2425</v>
      </c>
      <c r="E27" s="1776" t="s">
        <v>2426</v>
      </c>
      <c r="F27" s="1776" t="s">
        <v>2378</v>
      </c>
      <c r="G27" s="1776" t="s">
        <v>28</v>
      </c>
      <c r="H27" s="1776" t="s">
        <v>28</v>
      </c>
      <c r="I27" s="1776" t="s">
        <v>886</v>
      </c>
    </row>
    <row r="28" spans="1:9" ht="11.25" customHeight="1">
      <c r="A28" s="1776" t="s">
        <v>2323</v>
      </c>
      <c r="B28" s="1776" t="s">
        <v>16</v>
      </c>
      <c r="C28" s="1776" t="s">
        <v>2427</v>
      </c>
      <c r="D28" s="1776" t="s">
        <v>2428</v>
      </c>
      <c r="E28" s="1776" t="s">
        <v>2429</v>
      </c>
      <c r="F28" s="1776" t="s">
        <v>2378</v>
      </c>
      <c r="G28" s="1776" t="s">
        <v>28</v>
      </c>
      <c r="H28" s="1776" t="s">
        <v>28</v>
      </c>
      <c r="I28" s="1776" t="s">
        <v>886</v>
      </c>
    </row>
    <row r="29" spans="1:9" ht="11.25" customHeight="1">
      <c r="A29" s="1776" t="s">
        <v>2323</v>
      </c>
      <c r="B29" s="1776" t="s">
        <v>16</v>
      </c>
      <c r="C29" s="1776" t="s">
        <v>2430</v>
      </c>
      <c r="D29" s="1776" t="s">
        <v>2431</v>
      </c>
      <c r="E29" s="1776" t="s">
        <v>2432</v>
      </c>
      <c r="F29" s="1776" t="s">
        <v>2370</v>
      </c>
      <c r="G29" s="1776" t="s">
        <v>28</v>
      </c>
      <c r="H29" s="1776" t="s">
        <v>28</v>
      </c>
      <c r="I29" s="1776" t="s">
        <v>886</v>
      </c>
    </row>
    <row r="30" spans="1:9" ht="11.25" customHeight="1">
      <c r="A30" s="1776" t="s">
        <v>2323</v>
      </c>
      <c r="B30" s="1776" t="s">
        <v>16</v>
      </c>
      <c r="C30" s="1776" t="s">
        <v>2433</v>
      </c>
      <c r="D30" s="1776" t="s">
        <v>2434</v>
      </c>
      <c r="E30" s="1776" t="s">
        <v>2435</v>
      </c>
      <c r="F30" s="1776" t="s">
        <v>2436</v>
      </c>
      <c r="G30" s="1776" t="s">
        <v>28</v>
      </c>
      <c r="H30" s="1776" t="s">
        <v>28</v>
      </c>
      <c r="I30" s="1776" t="s">
        <v>886</v>
      </c>
    </row>
    <row r="31" spans="1:9" ht="11.25" customHeight="1">
      <c r="A31" s="1776" t="s">
        <v>2323</v>
      </c>
      <c r="B31" s="1776" t="s">
        <v>16</v>
      </c>
      <c r="C31" s="1776" t="s">
        <v>2437</v>
      </c>
      <c r="D31" s="1776" t="s">
        <v>2438</v>
      </c>
      <c r="E31" s="1776" t="s">
        <v>2439</v>
      </c>
      <c r="F31" s="1776" t="s">
        <v>2331</v>
      </c>
      <c r="G31" s="1776" t="s">
        <v>28</v>
      </c>
      <c r="H31" s="1776" t="s">
        <v>28</v>
      </c>
      <c r="I31" s="1776" t="s">
        <v>886</v>
      </c>
    </row>
    <row r="32" spans="1:9" ht="11.25" customHeight="1">
      <c r="A32" s="1776" t="s">
        <v>2323</v>
      </c>
      <c r="B32" s="1776" t="s">
        <v>16</v>
      </c>
      <c r="C32" s="1776" t="s">
        <v>2440</v>
      </c>
      <c r="D32" s="1776" t="s">
        <v>2441</v>
      </c>
      <c r="E32" s="1776" t="s">
        <v>2442</v>
      </c>
      <c r="F32" s="1776" t="s">
        <v>2443</v>
      </c>
      <c r="G32" s="1776" t="s">
        <v>28</v>
      </c>
      <c r="H32" s="1776" t="s">
        <v>28</v>
      </c>
      <c r="I32" s="1776" t="s">
        <v>886</v>
      </c>
    </row>
    <row r="33" spans="1:9" ht="11.25" customHeight="1">
      <c r="A33" s="1776" t="s">
        <v>2323</v>
      </c>
      <c r="B33" s="1776" t="s">
        <v>16</v>
      </c>
      <c r="C33" s="1776" t="s">
        <v>2444</v>
      </c>
      <c r="D33" s="1776" t="s">
        <v>2445</v>
      </c>
      <c r="E33" s="1776" t="s">
        <v>2446</v>
      </c>
      <c r="F33" s="1776" t="s">
        <v>2447</v>
      </c>
      <c r="G33" s="1776" t="s">
        <v>28</v>
      </c>
      <c r="H33" s="1776" t="s">
        <v>28</v>
      </c>
      <c r="I33" s="1776" t="s">
        <v>886</v>
      </c>
    </row>
    <row r="34" spans="1:9" ht="11.25" customHeight="1">
      <c r="A34" s="1776" t="s">
        <v>2323</v>
      </c>
      <c r="B34" s="1776" t="s">
        <v>16</v>
      </c>
      <c r="C34" s="1776" t="s">
        <v>2448</v>
      </c>
      <c r="D34" s="1776" t="s">
        <v>2449</v>
      </c>
      <c r="E34" s="1776" t="s">
        <v>2450</v>
      </c>
      <c r="F34" s="1776" t="s">
        <v>2451</v>
      </c>
      <c r="G34" s="1776" t="s">
        <v>28</v>
      </c>
      <c r="H34" s="1776" t="s">
        <v>28</v>
      </c>
      <c r="I34" s="1776" t="s">
        <v>886</v>
      </c>
    </row>
    <row r="35" spans="1:9" ht="11.25" customHeight="1">
      <c r="A35" s="1776" t="s">
        <v>2323</v>
      </c>
      <c r="B35" s="1776" t="s">
        <v>16</v>
      </c>
      <c r="C35" s="1776" t="s">
        <v>2452</v>
      </c>
      <c r="D35" s="1776" t="s">
        <v>2453</v>
      </c>
      <c r="E35" s="1776" t="s">
        <v>2454</v>
      </c>
      <c r="F35" s="1776" t="s">
        <v>2455</v>
      </c>
      <c r="G35" s="1776" t="s">
        <v>28</v>
      </c>
      <c r="H35" s="1776" t="s">
        <v>28</v>
      </c>
      <c r="I35" s="1776" t="s">
        <v>886</v>
      </c>
    </row>
    <row r="36" spans="1:9" ht="11.25" customHeight="1">
      <c r="A36" s="1776" t="s">
        <v>2323</v>
      </c>
      <c r="B36" s="1776" t="s">
        <v>16</v>
      </c>
      <c r="C36" s="1776" t="s">
        <v>2456</v>
      </c>
      <c r="D36" s="1776" t="s">
        <v>2457</v>
      </c>
      <c r="E36" s="1776" t="s">
        <v>2458</v>
      </c>
      <c r="F36" s="1776" t="s">
        <v>2459</v>
      </c>
      <c r="G36" s="1776" t="s">
        <v>28</v>
      </c>
      <c r="H36" s="1776" t="s">
        <v>28</v>
      </c>
      <c r="I36" s="1776" t="s">
        <v>886</v>
      </c>
    </row>
    <row r="37" spans="1:9" ht="11.25" customHeight="1">
      <c r="A37" s="1776" t="s">
        <v>2323</v>
      </c>
      <c r="B37" s="1776" t="s">
        <v>16</v>
      </c>
      <c r="C37" s="1776" t="s">
        <v>2460</v>
      </c>
      <c r="D37" s="1776" t="s">
        <v>2461</v>
      </c>
      <c r="E37" s="1776" t="s">
        <v>2462</v>
      </c>
      <c r="F37" s="1776" t="s">
        <v>2463</v>
      </c>
      <c r="G37" s="1776" t="s">
        <v>28</v>
      </c>
      <c r="H37" s="1776" t="s">
        <v>28</v>
      </c>
      <c r="I37" s="1776" t="s">
        <v>886</v>
      </c>
    </row>
    <row r="38" spans="1:9" ht="11.25" customHeight="1">
      <c r="A38" s="1776" t="s">
        <v>2323</v>
      </c>
      <c r="B38" s="1776" t="s">
        <v>16</v>
      </c>
      <c r="C38" s="1776" t="s">
        <v>2464</v>
      </c>
      <c r="D38" s="1776" t="s">
        <v>2465</v>
      </c>
      <c r="E38" s="1776" t="s">
        <v>2466</v>
      </c>
      <c r="F38" s="1776" t="s">
        <v>2382</v>
      </c>
      <c r="G38" s="1776" t="s">
        <v>2467</v>
      </c>
      <c r="H38" s="1776" t="s">
        <v>28</v>
      </c>
      <c r="I38" s="1776" t="s">
        <v>886</v>
      </c>
    </row>
    <row r="39" spans="1:9" ht="11.25" customHeight="1">
      <c r="A39" s="1776" t="s">
        <v>2323</v>
      </c>
      <c r="B39" s="1776" t="s">
        <v>16</v>
      </c>
      <c r="C39" s="1776" t="s">
        <v>2468</v>
      </c>
      <c r="D39" s="1776" t="s">
        <v>2469</v>
      </c>
      <c r="E39" s="1776" t="s">
        <v>2470</v>
      </c>
      <c r="F39" s="1776" t="s">
        <v>2443</v>
      </c>
      <c r="G39" s="1776" t="s">
        <v>2471</v>
      </c>
      <c r="H39" s="1776" t="s">
        <v>28</v>
      </c>
      <c r="I39" s="1776" t="s">
        <v>886</v>
      </c>
    </row>
    <row r="40" spans="1:9" ht="11.25" customHeight="1">
      <c r="A40" s="1776" t="s">
        <v>2323</v>
      </c>
      <c r="B40" s="1776" t="s">
        <v>16</v>
      </c>
      <c r="C40" s="1776" t="s">
        <v>2472</v>
      </c>
      <c r="D40" s="1776" t="s">
        <v>2473</v>
      </c>
      <c r="E40" s="1776" t="s">
        <v>2474</v>
      </c>
      <c r="F40" s="1776" t="s">
        <v>2436</v>
      </c>
      <c r="G40" s="1776" t="s">
        <v>2475</v>
      </c>
      <c r="H40" s="1776" t="s">
        <v>28</v>
      </c>
      <c r="I40" s="1776" t="s">
        <v>886</v>
      </c>
    </row>
    <row r="41" spans="1:9" ht="11.25" customHeight="1">
      <c r="A41" s="1776" t="s">
        <v>2323</v>
      </c>
      <c r="B41" s="1776" t="s">
        <v>16</v>
      </c>
      <c r="C41" s="1776" t="s">
        <v>2476</v>
      </c>
      <c r="D41" s="1776" t="s">
        <v>2477</v>
      </c>
      <c r="E41" s="1776" t="s">
        <v>2478</v>
      </c>
      <c r="F41" s="1776" t="s">
        <v>2382</v>
      </c>
      <c r="G41" s="1776" t="s">
        <v>28</v>
      </c>
      <c r="H41" s="1776" t="s">
        <v>28</v>
      </c>
      <c r="I41" s="1776" t="s">
        <v>886</v>
      </c>
    </row>
    <row r="42" spans="1:9" ht="11.25" customHeight="1">
      <c r="A42" s="1776" t="s">
        <v>2323</v>
      </c>
      <c r="B42" s="1776" t="s">
        <v>16</v>
      </c>
      <c r="C42" s="1776" t="s">
        <v>2479</v>
      </c>
      <c r="D42" s="1776" t="s">
        <v>2480</v>
      </c>
      <c r="E42" s="1776" t="s">
        <v>2481</v>
      </c>
      <c r="F42" s="1776" t="s">
        <v>2459</v>
      </c>
      <c r="G42" s="1776" t="s">
        <v>28</v>
      </c>
      <c r="H42" s="1776" t="s">
        <v>28</v>
      </c>
      <c r="I42" s="1776" t="s">
        <v>886</v>
      </c>
    </row>
    <row r="43" spans="1:9" ht="11.25" customHeight="1">
      <c r="A43" s="1776" t="s">
        <v>2323</v>
      </c>
      <c r="B43" s="1776" t="s">
        <v>16</v>
      </c>
      <c r="C43" s="1776" t="s">
        <v>2482</v>
      </c>
      <c r="D43" s="1776" t="s">
        <v>2483</v>
      </c>
      <c r="E43" s="1776" t="s">
        <v>2484</v>
      </c>
      <c r="F43" s="1776" t="s">
        <v>2485</v>
      </c>
      <c r="G43" s="1776" t="s">
        <v>28</v>
      </c>
      <c r="H43" s="1776" t="s">
        <v>28</v>
      </c>
      <c r="I43" s="1776" t="s">
        <v>886</v>
      </c>
    </row>
    <row r="44" spans="1:9" ht="11.25" customHeight="1">
      <c r="A44" s="1776" t="s">
        <v>2323</v>
      </c>
      <c r="B44" s="1776" t="s">
        <v>16</v>
      </c>
      <c r="C44" s="1776" t="s">
        <v>2486</v>
      </c>
      <c r="D44" s="1776" t="s">
        <v>2487</v>
      </c>
      <c r="E44" s="1776" t="s">
        <v>2488</v>
      </c>
      <c r="F44" s="1776" t="s">
        <v>2443</v>
      </c>
      <c r="G44" s="1776" t="s">
        <v>2489</v>
      </c>
      <c r="H44" s="1776" t="s">
        <v>28</v>
      </c>
      <c r="I44" s="1776" t="s">
        <v>886</v>
      </c>
    </row>
    <row r="45" spans="1:9" ht="11.25" customHeight="1">
      <c r="A45" s="1776" t="s">
        <v>2323</v>
      </c>
      <c r="B45" s="1776" t="s">
        <v>16</v>
      </c>
      <c r="C45" s="1776" t="s">
        <v>2490</v>
      </c>
      <c r="D45" s="1776" t="s">
        <v>2491</v>
      </c>
      <c r="E45" s="1776" t="s">
        <v>2492</v>
      </c>
      <c r="F45" s="1776" t="s">
        <v>2493</v>
      </c>
      <c r="G45" s="1776" t="s">
        <v>28</v>
      </c>
      <c r="H45" s="1776" t="s">
        <v>28</v>
      </c>
      <c r="I45" s="1776" t="s">
        <v>886</v>
      </c>
    </row>
    <row r="46" spans="1:9" ht="11.25" customHeight="1">
      <c r="A46" s="1776" t="s">
        <v>2323</v>
      </c>
      <c r="B46" s="1776" t="s">
        <v>16</v>
      </c>
      <c r="C46" s="1776" t="s">
        <v>2494</v>
      </c>
      <c r="D46" s="1776" t="s">
        <v>2495</v>
      </c>
      <c r="E46" s="1776" t="s">
        <v>2496</v>
      </c>
      <c r="F46" s="1776" t="s">
        <v>2485</v>
      </c>
      <c r="G46" s="1776" t="s">
        <v>2497</v>
      </c>
      <c r="H46" s="1776" t="s">
        <v>28</v>
      </c>
      <c r="I46" s="1776" t="s">
        <v>886</v>
      </c>
    </row>
    <row r="47" spans="1:9" ht="11.25" customHeight="1">
      <c r="A47" s="1776" t="s">
        <v>2323</v>
      </c>
      <c r="B47" s="1776" t="s">
        <v>16</v>
      </c>
      <c r="C47" s="1776" t="s">
        <v>2498</v>
      </c>
      <c r="D47" s="1776" t="s">
        <v>2499</v>
      </c>
      <c r="E47" s="1776" t="s">
        <v>2500</v>
      </c>
      <c r="F47" s="1776" t="s">
        <v>2413</v>
      </c>
      <c r="G47" s="1776" t="s">
        <v>28</v>
      </c>
      <c r="H47" s="1776" t="s">
        <v>28</v>
      </c>
      <c r="I47" s="1776" t="s">
        <v>886</v>
      </c>
    </row>
    <row r="48" spans="1:9" ht="11.25" customHeight="1">
      <c r="A48" s="1776" t="s">
        <v>2323</v>
      </c>
      <c r="B48" s="1776" t="s">
        <v>16</v>
      </c>
      <c r="C48" s="1776" t="s">
        <v>2501</v>
      </c>
      <c r="D48" s="1776" t="s">
        <v>2502</v>
      </c>
      <c r="E48" s="1776" t="s">
        <v>2503</v>
      </c>
      <c r="F48" s="1776" t="s">
        <v>2504</v>
      </c>
      <c r="G48" s="1776" t="s">
        <v>28</v>
      </c>
      <c r="H48" s="1776" t="s">
        <v>28</v>
      </c>
      <c r="I48" s="1776" t="s">
        <v>886</v>
      </c>
    </row>
    <row r="49" spans="1:9" ht="11.25" customHeight="1">
      <c r="A49" s="1776" t="s">
        <v>2323</v>
      </c>
      <c r="B49" s="1776" t="s">
        <v>16</v>
      </c>
      <c r="C49" s="1776" t="s">
        <v>2505</v>
      </c>
      <c r="D49" s="1776" t="s">
        <v>2506</v>
      </c>
      <c r="E49" s="1776" t="s">
        <v>2507</v>
      </c>
      <c r="F49" s="1776" t="s">
        <v>2459</v>
      </c>
      <c r="G49" s="1776" t="s">
        <v>2508</v>
      </c>
      <c r="H49" s="1776" t="s">
        <v>28</v>
      </c>
      <c r="I49" s="1776" t="s">
        <v>886</v>
      </c>
    </row>
    <row r="50" spans="1:9" ht="11.25" customHeight="1">
      <c r="A50" s="1776" t="s">
        <v>2323</v>
      </c>
      <c r="B50" s="1776" t="s">
        <v>16</v>
      </c>
      <c r="C50" s="1776" t="s">
        <v>2509</v>
      </c>
      <c r="D50" s="1776" t="s">
        <v>2510</v>
      </c>
      <c r="E50" s="1776" t="s">
        <v>2511</v>
      </c>
      <c r="F50" s="1776" t="s">
        <v>2382</v>
      </c>
      <c r="G50" s="1776" t="s">
        <v>28</v>
      </c>
      <c r="H50" s="1776" t="s">
        <v>28</v>
      </c>
      <c r="I50" s="1776" t="s">
        <v>886</v>
      </c>
    </row>
    <row r="51" spans="1:9" ht="11.25" customHeight="1">
      <c r="A51" s="1776" t="s">
        <v>2323</v>
      </c>
      <c r="B51" s="1776" t="s">
        <v>16</v>
      </c>
      <c r="C51" s="1776" t="s">
        <v>2512</v>
      </c>
      <c r="D51" s="1776" t="s">
        <v>2513</v>
      </c>
      <c r="E51" s="1776" t="s">
        <v>2514</v>
      </c>
      <c r="F51" s="1776" t="s">
        <v>2515</v>
      </c>
      <c r="G51" s="1776" t="s">
        <v>28</v>
      </c>
      <c r="H51" s="1776" t="s">
        <v>28</v>
      </c>
      <c r="I51" s="1776" t="s">
        <v>886</v>
      </c>
    </row>
    <row r="52" spans="1:9" ht="11.25" customHeight="1">
      <c r="A52" s="1776" t="s">
        <v>2323</v>
      </c>
      <c r="B52" s="1776" t="s">
        <v>16</v>
      </c>
      <c r="C52" s="1776" t="s">
        <v>2516</v>
      </c>
      <c r="D52" s="1776" t="s">
        <v>2517</v>
      </c>
      <c r="E52" s="1776" t="s">
        <v>2518</v>
      </c>
      <c r="F52" s="1776" t="s">
        <v>2519</v>
      </c>
      <c r="G52" s="1776" t="s">
        <v>28</v>
      </c>
      <c r="H52" s="1776" t="s">
        <v>28</v>
      </c>
      <c r="I52" s="1776" t="s">
        <v>886</v>
      </c>
    </row>
    <row r="53" spans="1:9" ht="11.25" customHeight="1">
      <c r="A53" s="1776" t="s">
        <v>2323</v>
      </c>
      <c r="B53" s="1776" t="s">
        <v>16</v>
      </c>
      <c r="C53" s="1776" t="s">
        <v>2520</v>
      </c>
      <c r="D53" s="1776" t="s">
        <v>2521</v>
      </c>
      <c r="E53" s="1776" t="s">
        <v>2522</v>
      </c>
      <c r="F53" s="1776" t="s">
        <v>2382</v>
      </c>
      <c r="G53" s="1776" t="s">
        <v>28</v>
      </c>
      <c r="H53" s="1776" t="s">
        <v>28</v>
      </c>
      <c r="I53" s="1776" t="s">
        <v>886</v>
      </c>
    </row>
    <row r="54" spans="1:9" ht="11.25" customHeight="1">
      <c r="A54" s="1776" t="s">
        <v>2323</v>
      </c>
      <c r="B54" s="1776" t="s">
        <v>16</v>
      </c>
      <c r="C54" s="1776" t="s">
        <v>2523</v>
      </c>
      <c r="D54" s="1776" t="s">
        <v>2524</v>
      </c>
      <c r="E54" s="1776" t="s">
        <v>2525</v>
      </c>
      <c r="F54" s="1776" t="s">
        <v>2382</v>
      </c>
      <c r="G54" s="1776" t="s">
        <v>28</v>
      </c>
      <c r="H54" s="1776" t="s">
        <v>28</v>
      </c>
      <c r="I54" s="1776" t="s">
        <v>886</v>
      </c>
    </row>
    <row r="55" spans="1:9" ht="11.25" customHeight="1">
      <c r="A55" s="1776" t="s">
        <v>2323</v>
      </c>
      <c r="B55" s="1776" t="s">
        <v>16</v>
      </c>
      <c r="C55" s="1776" t="s">
        <v>2526</v>
      </c>
      <c r="D55" s="1776" t="s">
        <v>2527</v>
      </c>
      <c r="E55" s="1776" t="s">
        <v>2528</v>
      </c>
      <c r="F55" s="1776" t="s">
        <v>2365</v>
      </c>
      <c r="G55" s="1776" t="s">
        <v>28</v>
      </c>
      <c r="H55" s="1776" t="s">
        <v>28</v>
      </c>
      <c r="I55" s="1776" t="s">
        <v>886</v>
      </c>
    </row>
    <row r="56" spans="1:9" ht="11.25" customHeight="1">
      <c r="A56" s="1776" t="s">
        <v>2323</v>
      </c>
      <c r="B56" s="1776" t="s">
        <v>16</v>
      </c>
      <c r="C56" s="1776" t="s">
        <v>2529</v>
      </c>
      <c r="D56" s="1776" t="s">
        <v>2530</v>
      </c>
      <c r="E56" s="1776" t="s">
        <v>2531</v>
      </c>
      <c r="F56" s="1776" t="s">
        <v>2532</v>
      </c>
      <c r="G56" s="1776" t="s">
        <v>28</v>
      </c>
      <c r="H56" s="1776" t="s">
        <v>28</v>
      </c>
      <c r="I56" s="1776" t="s">
        <v>886</v>
      </c>
    </row>
    <row r="57" spans="1:9" ht="11.25" customHeight="1">
      <c r="A57" s="1776" t="s">
        <v>2323</v>
      </c>
      <c r="B57" s="1776" t="s">
        <v>16</v>
      </c>
      <c r="C57" s="1776" t="s">
        <v>2533</v>
      </c>
      <c r="D57" s="1776" t="s">
        <v>2534</v>
      </c>
      <c r="E57" s="1776" t="s">
        <v>2535</v>
      </c>
      <c r="F57" s="1776" t="s">
        <v>2536</v>
      </c>
      <c r="G57" s="1776" t="s">
        <v>28</v>
      </c>
      <c r="H57" s="1776" t="s">
        <v>28</v>
      </c>
      <c r="I57" s="1776" t="s">
        <v>886</v>
      </c>
    </row>
    <row r="58" spans="1:9" ht="11.25" customHeight="1">
      <c r="A58" s="1776" t="s">
        <v>2323</v>
      </c>
      <c r="B58" s="1776" t="s">
        <v>16</v>
      </c>
      <c r="C58" s="1776" t="s">
        <v>2537</v>
      </c>
      <c r="D58" s="1776" t="s">
        <v>2538</v>
      </c>
      <c r="E58" s="1776" t="s">
        <v>2539</v>
      </c>
      <c r="F58" s="1776" t="s">
        <v>2540</v>
      </c>
      <c r="G58" s="1776" t="s">
        <v>28</v>
      </c>
      <c r="H58" s="1776" t="s">
        <v>28</v>
      </c>
      <c r="I58" s="1776" t="s">
        <v>886</v>
      </c>
    </row>
    <row r="59" spans="1:9" ht="11.25" customHeight="1">
      <c r="A59" s="1776" t="s">
        <v>2323</v>
      </c>
      <c r="B59" s="1776" t="s">
        <v>16</v>
      </c>
      <c r="C59" s="1776" t="s">
        <v>2541</v>
      </c>
      <c r="D59" s="1776" t="s">
        <v>2542</v>
      </c>
      <c r="E59" s="1776" t="s">
        <v>2543</v>
      </c>
      <c r="F59" s="1776" t="s">
        <v>2544</v>
      </c>
      <c r="G59" s="1776" t="s">
        <v>28</v>
      </c>
      <c r="H59" s="1776" t="s">
        <v>28</v>
      </c>
      <c r="I59" s="1776" t="s">
        <v>886</v>
      </c>
    </row>
    <row r="60" spans="1:9" ht="11.25" customHeight="1">
      <c r="A60" s="1776" t="s">
        <v>2323</v>
      </c>
      <c r="B60" s="1776" t="s">
        <v>16</v>
      </c>
      <c r="C60" s="1776" t="s">
        <v>2545</v>
      </c>
      <c r="D60" s="1776" t="s">
        <v>2546</v>
      </c>
      <c r="E60" s="1776" t="s">
        <v>2547</v>
      </c>
      <c r="F60" s="1776" t="s">
        <v>2548</v>
      </c>
      <c r="G60" s="1776" t="s">
        <v>28</v>
      </c>
      <c r="H60" s="1776" t="s">
        <v>28</v>
      </c>
      <c r="I60" s="1776" t="s">
        <v>886</v>
      </c>
    </row>
    <row r="61" spans="1:9" ht="11.25" customHeight="1">
      <c r="A61" s="1776" t="s">
        <v>2323</v>
      </c>
      <c r="B61" s="1776" t="s">
        <v>16</v>
      </c>
      <c r="C61" s="1776" t="s">
        <v>2549</v>
      </c>
      <c r="D61" s="1776" t="s">
        <v>2550</v>
      </c>
      <c r="E61" s="1776" t="s">
        <v>2551</v>
      </c>
      <c r="F61" s="1776" t="s">
        <v>2552</v>
      </c>
      <c r="G61" s="1776" t="s">
        <v>28</v>
      </c>
      <c r="H61" s="1776" t="s">
        <v>28</v>
      </c>
      <c r="I61" s="1776" t="s">
        <v>886</v>
      </c>
    </row>
    <row r="62" spans="1:9" ht="11.25" customHeight="1">
      <c r="A62" s="1776" t="s">
        <v>2323</v>
      </c>
      <c r="B62" s="1776" t="s">
        <v>16</v>
      </c>
      <c r="C62" s="1776" t="s">
        <v>2553</v>
      </c>
      <c r="D62" s="1776" t="s">
        <v>2554</v>
      </c>
      <c r="E62" s="1776" t="s">
        <v>2555</v>
      </c>
      <c r="F62" s="1776" t="s">
        <v>2556</v>
      </c>
      <c r="G62" s="1776" t="s">
        <v>28</v>
      </c>
      <c r="H62" s="1776" t="s">
        <v>28</v>
      </c>
      <c r="I62" s="1776" t="s">
        <v>886</v>
      </c>
    </row>
    <row r="63" spans="1:9" ht="11.25" customHeight="1">
      <c r="A63" s="1776" t="s">
        <v>2323</v>
      </c>
      <c r="B63" s="1776" t="s">
        <v>16</v>
      </c>
      <c r="C63" s="1776" t="s">
        <v>2557</v>
      </c>
      <c r="D63" s="1776" t="s">
        <v>2558</v>
      </c>
      <c r="E63" s="1776" t="s">
        <v>2559</v>
      </c>
      <c r="F63" s="1776" t="s">
        <v>2532</v>
      </c>
      <c r="G63" s="1776" t="s">
        <v>28</v>
      </c>
      <c r="H63" s="1776" t="s">
        <v>28</v>
      </c>
      <c r="I63" s="1776" t="s">
        <v>886</v>
      </c>
    </row>
    <row r="64" spans="1:9" ht="11.25" customHeight="1">
      <c r="A64" s="1776" t="s">
        <v>2323</v>
      </c>
      <c r="B64" s="1776" t="s">
        <v>16</v>
      </c>
      <c r="C64" s="1776" t="s">
        <v>2560</v>
      </c>
      <c r="D64" s="1776" t="s">
        <v>2561</v>
      </c>
      <c r="E64" s="1776" t="s">
        <v>2562</v>
      </c>
      <c r="F64" s="1776" t="s">
        <v>2331</v>
      </c>
      <c r="G64" s="1776" t="s">
        <v>28</v>
      </c>
      <c r="H64" s="1776" t="s">
        <v>28</v>
      </c>
      <c r="I64" s="1776" t="s">
        <v>886</v>
      </c>
    </row>
    <row r="65" spans="1:9" ht="11.25" customHeight="1">
      <c r="A65" s="1776" t="s">
        <v>2323</v>
      </c>
      <c r="B65" s="1776" t="s">
        <v>16</v>
      </c>
      <c r="C65" s="1776" t="s">
        <v>2563</v>
      </c>
      <c r="D65" s="1776" t="s">
        <v>2564</v>
      </c>
      <c r="E65" s="1776" t="s">
        <v>2565</v>
      </c>
      <c r="F65" s="1776" t="s">
        <v>2566</v>
      </c>
      <c r="G65" s="1776" t="s">
        <v>28</v>
      </c>
      <c r="H65" s="1776" t="s">
        <v>28</v>
      </c>
      <c r="I65" s="1776" t="s">
        <v>886</v>
      </c>
    </row>
    <row r="66" spans="1:9" ht="11.25" customHeight="1">
      <c r="A66" s="1776" t="s">
        <v>2323</v>
      </c>
      <c r="B66" s="1776" t="s">
        <v>16</v>
      </c>
      <c r="C66" s="1776" t="s">
        <v>2567</v>
      </c>
      <c r="D66" s="1776" t="s">
        <v>2568</v>
      </c>
      <c r="E66" s="1776" t="s">
        <v>2569</v>
      </c>
      <c r="F66" s="1776" t="s">
        <v>2570</v>
      </c>
      <c r="G66" s="1776" t="s">
        <v>28</v>
      </c>
      <c r="H66" s="1776" t="s">
        <v>28</v>
      </c>
      <c r="I66" s="1776" t="s">
        <v>886</v>
      </c>
    </row>
    <row r="67" spans="1:9" ht="11.25" customHeight="1">
      <c r="A67" s="1776" t="s">
        <v>2323</v>
      </c>
      <c r="B67" s="1776" t="s">
        <v>16</v>
      </c>
      <c r="C67" s="1776" t="s">
        <v>2571</v>
      </c>
      <c r="D67" s="1776" t="s">
        <v>2572</v>
      </c>
      <c r="E67" s="1776" t="s">
        <v>2573</v>
      </c>
      <c r="F67" s="1776" t="s">
        <v>2413</v>
      </c>
      <c r="G67" s="1776" t="s">
        <v>28</v>
      </c>
      <c r="H67" s="1776" t="s">
        <v>28</v>
      </c>
      <c r="I67" s="1776" t="s">
        <v>886</v>
      </c>
    </row>
    <row r="68" spans="1:9" ht="11.25" customHeight="1">
      <c r="A68" s="1776" t="s">
        <v>2323</v>
      </c>
      <c r="B68" s="1776" t="s">
        <v>16</v>
      </c>
      <c r="C68" s="1776" t="s">
        <v>2574</v>
      </c>
      <c r="D68" s="1776" t="s">
        <v>2575</v>
      </c>
      <c r="E68" s="1776" t="s">
        <v>2576</v>
      </c>
      <c r="F68" s="1776" t="s">
        <v>2577</v>
      </c>
      <c r="G68" s="1776" t="s">
        <v>28</v>
      </c>
      <c r="H68" s="1776" t="s">
        <v>28</v>
      </c>
      <c r="I68" s="1776" t="s">
        <v>886</v>
      </c>
    </row>
    <row r="69" spans="1:9" ht="11.25" customHeight="1">
      <c r="A69" s="1776" t="s">
        <v>2323</v>
      </c>
      <c r="B69" s="1776" t="s">
        <v>16</v>
      </c>
      <c r="C69" s="1776" t="s">
        <v>2578</v>
      </c>
      <c r="D69" s="1776" t="s">
        <v>2579</v>
      </c>
      <c r="E69" s="1776" t="s">
        <v>2580</v>
      </c>
      <c r="F69" s="1776" t="s">
        <v>2581</v>
      </c>
      <c r="G69" s="1776" t="s">
        <v>28</v>
      </c>
      <c r="H69" s="1776" t="s">
        <v>28</v>
      </c>
      <c r="I69" s="1776" t="s">
        <v>886</v>
      </c>
    </row>
    <row r="70" spans="1:9" ht="11.25" customHeight="1">
      <c r="A70" s="1776" t="s">
        <v>2323</v>
      </c>
      <c r="B70" s="1776" t="s">
        <v>16</v>
      </c>
      <c r="C70" s="1776" t="s">
        <v>2582</v>
      </c>
      <c r="D70" s="1776" t="s">
        <v>2583</v>
      </c>
      <c r="E70" s="1776" t="s">
        <v>2584</v>
      </c>
      <c r="F70" s="1776" t="s">
        <v>2585</v>
      </c>
      <c r="G70" s="1776" t="s">
        <v>28</v>
      </c>
      <c r="H70" s="1776" t="s">
        <v>28</v>
      </c>
      <c r="I70" s="1776" t="s">
        <v>886</v>
      </c>
    </row>
    <row r="71" spans="1:9" ht="11.25" customHeight="1">
      <c r="A71" s="1776" t="s">
        <v>2323</v>
      </c>
      <c r="B71" s="1776" t="s">
        <v>16</v>
      </c>
      <c r="C71" s="1776" t="s">
        <v>2586</v>
      </c>
      <c r="D71" s="1776" t="s">
        <v>2587</v>
      </c>
      <c r="E71" s="1776" t="s">
        <v>2588</v>
      </c>
      <c r="F71" s="1776" t="s">
        <v>2589</v>
      </c>
      <c r="G71" s="1776" t="s">
        <v>28</v>
      </c>
      <c r="H71" s="1776" t="s">
        <v>28</v>
      </c>
      <c r="I71" s="1776" t="s">
        <v>886</v>
      </c>
    </row>
    <row r="72" spans="1:9" ht="11.25" customHeight="1">
      <c r="A72" s="1776" t="s">
        <v>2323</v>
      </c>
      <c r="B72" s="1776" t="s">
        <v>16</v>
      </c>
      <c r="C72" s="1776" t="s">
        <v>2590</v>
      </c>
      <c r="D72" s="1776" t="s">
        <v>2591</v>
      </c>
      <c r="E72" s="1776" t="s">
        <v>2592</v>
      </c>
      <c r="F72" s="1776" t="s">
        <v>2593</v>
      </c>
      <c r="G72" s="1776" t="s">
        <v>28</v>
      </c>
      <c r="H72" s="1776" t="s">
        <v>28</v>
      </c>
      <c r="I72" s="1776" t="s">
        <v>886</v>
      </c>
    </row>
    <row r="73" spans="1:9" ht="11.25" customHeight="1">
      <c r="A73" s="1776" t="s">
        <v>2323</v>
      </c>
      <c r="B73" s="1776" t="s">
        <v>16</v>
      </c>
      <c r="C73" s="1776" t="s">
        <v>2594</v>
      </c>
      <c r="D73" s="1776" t="s">
        <v>2595</v>
      </c>
      <c r="E73" s="1776" t="s">
        <v>2596</v>
      </c>
      <c r="F73" s="1776" t="s">
        <v>2597</v>
      </c>
      <c r="G73" s="1776" t="s">
        <v>28</v>
      </c>
      <c r="H73" s="1776" t="s">
        <v>28</v>
      </c>
      <c r="I73" s="1776" t="s">
        <v>886</v>
      </c>
    </row>
    <row r="74" spans="1:9" ht="11.25" customHeight="1">
      <c r="A74" s="1776" t="s">
        <v>2323</v>
      </c>
      <c r="B74" s="1776" t="s">
        <v>16</v>
      </c>
      <c r="C74" s="1776" t="s">
        <v>2598</v>
      </c>
      <c r="D74" s="1776" t="s">
        <v>2599</v>
      </c>
      <c r="E74" s="1776" t="s">
        <v>2600</v>
      </c>
      <c r="F74" s="1776" t="s">
        <v>2413</v>
      </c>
      <c r="G74" s="1776" t="s">
        <v>28</v>
      </c>
      <c r="H74" s="1776" t="s">
        <v>28</v>
      </c>
      <c r="I74" s="1776" t="s">
        <v>886</v>
      </c>
    </row>
    <row r="75" spans="1:9" ht="11.25" customHeight="1">
      <c r="A75" s="1776" t="s">
        <v>2323</v>
      </c>
      <c r="B75" s="1776" t="s">
        <v>16</v>
      </c>
      <c r="C75" s="1776" t="s">
        <v>2601</v>
      </c>
      <c r="D75" s="1776" t="s">
        <v>2602</v>
      </c>
      <c r="E75" s="1776" t="s">
        <v>2603</v>
      </c>
      <c r="F75" s="1776" t="s">
        <v>2327</v>
      </c>
      <c r="G75" s="1776" t="s">
        <v>28</v>
      </c>
      <c r="H75" s="1776" t="s">
        <v>28</v>
      </c>
      <c r="I75" s="1776" t="s">
        <v>886</v>
      </c>
    </row>
    <row r="76" spans="1:9" ht="11.25" customHeight="1">
      <c r="A76" s="1776" t="s">
        <v>2323</v>
      </c>
      <c r="B76" s="1776" t="s">
        <v>16</v>
      </c>
      <c r="C76" s="1776" t="s">
        <v>2604</v>
      </c>
      <c r="D76" s="1776" t="s">
        <v>2605</v>
      </c>
      <c r="E76" s="1776" t="s">
        <v>2606</v>
      </c>
      <c r="F76" s="1776" t="s">
        <v>2519</v>
      </c>
      <c r="G76" s="1776" t="s">
        <v>28</v>
      </c>
      <c r="H76" s="1776" t="s">
        <v>28</v>
      </c>
      <c r="I76" s="1776" t="s">
        <v>886</v>
      </c>
    </row>
    <row r="77" spans="1:9" ht="11.25" customHeight="1">
      <c r="A77" s="1776" t="s">
        <v>2323</v>
      </c>
      <c r="B77" s="1776" t="s">
        <v>16</v>
      </c>
      <c r="C77" s="1776" t="s">
        <v>2607</v>
      </c>
      <c r="D77" s="1776" t="s">
        <v>2608</v>
      </c>
      <c r="E77" s="1776" t="s">
        <v>2609</v>
      </c>
      <c r="F77" s="1776" t="s">
        <v>2382</v>
      </c>
      <c r="G77" s="1776" t="s">
        <v>28</v>
      </c>
      <c r="H77" s="1776" t="s">
        <v>28</v>
      </c>
      <c r="I77" s="1776" t="s">
        <v>886</v>
      </c>
    </row>
    <row r="78" spans="1:9" ht="11.25" customHeight="1">
      <c r="A78" s="1776" t="s">
        <v>2323</v>
      </c>
      <c r="B78" s="1776" t="s">
        <v>16</v>
      </c>
      <c r="C78" s="1776" t="s">
        <v>2610</v>
      </c>
      <c r="D78" s="1776" t="s">
        <v>2611</v>
      </c>
      <c r="E78" s="1776" t="s">
        <v>2612</v>
      </c>
      <c r="F78" s="1776" t="s">
        <v>2378</v>
      </c>
      <c r="G78" s="1776" t="s">
        <v>28</v>
      </c>
      <c r="H78" s="1776" t="s">
        <v>28</v>
      </c>
      <c r="I78" s="1776" t="s">
        <v>886</v>
      </c>
    </row>
    <row r="79" spans="1:9" ht="11.25" customHeight="1">
      <c r="A79" s="1776" t="s">
        <v>2323</v>
      </c>
      <c r="B79" s="1776" t="s">
        <v>16</v>
      </c>
      <c r="C79" s="1776" t="s">
        <v>2613</v>
      </c>
      <c r="D79" s="1776" t="s">
        <v>2614</v>
      </c>
      <c r="E79" s="1776" t="s">
        <v>2615</v>
      </c>
      <c r="F79" s="1776" t="s">
        <v>2616</v>
      </c>
      <c r="G79" s="1776" t="s">
        <v>2617</v>
      </c>
      <c r="H79" s="1776" t="s">
        <v>28</v>
      </c>
      <c r="I79" s="1776" t="s">
        <v>886</v>
      </c>
    </row>
    <row r="80" spans="1:9" ht="11.25" customHeight="1">
      <c r="A80" s="1776" t="s">
        <v>2323</v>
      </c>
      <c r="B80" s="1776" t="s">
        <v>16</v>
      </c>
      <c r="C80" s="1776" t="s">
        <v>2618</v>
      </c>
      <c r="D80" s="1776" t="s">
        <v>2619</v>
      </c>
      <c r="E80" s="1776" t="s">
        <v>2620</v>
      </c>
      <c r="F80" s="1776" t="s">
        <v>2365</v>
      </c>
      <c r="G80" s="1776" t="s">
        <v>28</v>
      </c>
      <c r="H80" s="1776" t="s">
        <v>28</v>
      </c>
      <c r="I80" s="1776" t="s">
        <v>886</v>
      </c>
    </row>
    <row r="81" spans="1:9" ht="11.25" customHeight="1">
      <c r="A81" s="1776" t="s">
        <v>2323</v>
      </c>
      <c r="B81" s="1776" t="s">
        <v>16</v>
      </c>
      <c r="C81" s="1776" t="s">
        <v>2621</v>
      </c>
      <c r="D81" s="1776" t="s">
        <v>2622</v>
      </c>
      <c r="E81" s="1776" t="s">
        <v>2623</v>
      </c>
      <c r="F81" s="1776" t="s">
        <v>2331</v>
      </c>
      <c r="G81" s="1776" t="s">
        <v>28</v>
      </c>
      <c r="H81" s="1776" t="s">
        <v>28</v>
      </c>
      <c r="I81" s="1776" t="s">
        <v>886</v>
      </c>
    </row>
    <row r="82" spans="1:9" ht="11.25" customHeight="1">
      <c r="A82" s="1776" t="s">
        <v>2323</v>
      </c>
      <c r="B82" s="1776" t="s">
        <v>16</v>
      </c>
      <c r="C82" s="1776" t="s">
        <v>2624</v>
      </c>
      <c r="D82" s="1776" t="s">
        <v>2625</v>
      </c>
      <c r="E82" s="1776" t="s">
        <v>2626</v>
      </c>
      <c r="F82" s="1776" t="s">
        <v>2627</v>
      </c>
      <c r="G82" s="1776" t="s">
        <v>28</v>
      </c>
      <c r="H82" s="1776" t="s">
        <v>28</v>
      </c>
      <c r="I82" s="1776" t="s">
        <v>886</v>
      </c>
    </row>
    <row r="83" spans="1:9" ht="11.25" customHeight="1">
      <c r="A83" s="1776" t="s">
        <v>2323</v>
      </c>
      <c r="B83" s="1776" t="s">
        <v>16</v>
      </c>
      <c r="C83" s="1776" t="s">
        <v>2628</v>
      </c>
      <c r="D83" s="1776" t="s">
        <v>2629</v>
      </c>
      <c r="E83" s="1776" t="s">
        <v>2630</v>
      </c>
      <c r="F83" s="1776" t="s">
        <v>2631</v>
      </c>
      <c r="G83" s="1776" t="s">
        <v>28</v>
      </c>
      <c r="H83" s="1776" t="s">
        <v>28</v>
      </c>
      <c r="I83" s="1776" t="s">
        <v>886</v>
      </c>
    </row>
    <row r="84" spans="1:9" ht="11.25" customHeight="1">
      <c r="A84" s="1776" t="s">
        <v>2323</v>
      </c>
      <c r="B84" s="1776" t="s">
        <v>16</v>
      </c>
      <c r="C84" s="1776" t="s">
        <v>2632</v>
      </c>
      <c r="D84" s="1776" t="s">
        <v>2633</v>
      </c>
      <c r="E84" s="1776" t="s">
        <v>2634</v>
      </c>
      <c r="F84" s="1776" t="s">
        <v>2627</v>
      </c>
      <c r="G84" s="1776" t="s">
        <v>2635</v>
      </c>
      <c r="H84" s="1776" t="s">
        <v>28</v>
      </c>
      <c r="I84" s="1776" t="s">
        <v>886</v>
      </c>
    </row>
    <row r="85" spans="1:9" ht="11.25" customHeight="1">
      <c r="A85" s="1776" t="s">
        <v>2323</v>
      </c>
      <c r="B85" s="1776" t="s">
        <v>16</v>
      </c>
      <c r="C85" s="1776" t="s">
        <v>2636</v>
      </c>
      <c r="D85" s="1776" t="s">
        <v>2637</v>
      </c>
      <c r="E85" s="1776" t="s">
        <v>2638</v>
      </c>
      <c r="F85" s="1776" t="s">
        <v>2589</v>
      </c>
      <c r="G85" s="1776" t="s">
        <v>2639</v>
      </c>
      <c r="H85" s="1776" t="s">
        <v>28</v>
      </c>
      <c r="I85" s="1776" t="s">
        <v>886</v>
      </c>
    </row>
    <row r="86" spans="1:9" ht="11.25" customHeight="1">
      <c r="A86" s="1776" t="s">
        <v>2323</v>
      </c>
      <c r="B86" s="1776" t="s">
        <v>16</v>
      </c>
      <c r="C86" s="1776" t="s">
        <v>2640</v>
      </c>
      <c r="D86" s="1776" t="s">
        <v>2641</v>
      </c>
      <c r="E86" s="1776" t="s">
        <v>2642</v>
      </c>
      <c r="F86" s="1776" t="s">
        <v>2327</v>
      </c>
      <c r="G86" s="1776" t="s">
        <v>2643</v>
      </c>
      <c r="H86" s="1776" t="s">
        <v>28</v>
      </c>
      <c r="I86" s="1776" t="s">
        <v>886</v>
      </c>
    </row>
    <row r="87" spans="1:9" ht="11.25" customHeight="1">
      <c r="A87" s="1776" t="s">
        <v>2323</v>
      </c>
      <c r="B87" s="1776" t="s">
        <v>16</v>
      </c>
      <c r="C87" s="1776" t="s">
        <v>2644</v>
      </c>
      <c r="D87" s="1776" t="s">
        <v>2645</v>
      </c>
      <c r="E87" s="1776" t="s">
        <v>2646</v>
      </c>
      <c r="F87" s="1776" t="s">
        <v>2436</v>
      </c>
      <c r="G87" s="1776" t="s">
        <v>2647</v>
      </c>
      <c r="H87" s="1776" t="s">
        <v>28</v>
      </c>
      <c r="I87" s="1776" t="s">
        <v>886</v>
      </c>
    </row>
    <row r="88" spans="1:9" ht="11.25" customHeight="1">
      <c r="A88" s="1776" t="s">
        <v>2323</v>
      </c>
      <c r="B88" s="1776" t="s">
        <v>16</v>
      </c>
      <c r="C88" s="1776" t="s">
        <v>2648</v>
      </c>
      <c r="D88" s="1776" t="s">
        <v>2649</v>
      </c>
      <c r="E88" s="1776" t="s">
        <v>2650</v>
      </c>
      <c r="F88" s="1776" t="s">
        <v>2436</v>
      </c>
      <c r="G88" s="1776" t="s">
        <v>2651</v>
      </c>
      <c r="H88" s="1776" t="s">
        <v>28</v>
      </c>
      <c r="I88" s="1776" t="s">
        <v>886</v>
      </c>
    </row>
    <row r="89" spans="1:9" ht="11.25" customHeight="1">
      <c r="A89" s="1776" t="s">
        <v>2323</v>
      </c>
      <c r="B89" s="1776" t="s">
        <v>16</v>
      </c>
      <c r="C89" s="1776" t="s">
        <v>2652</v>
      </c>
      <c r="D89" s="1776" t="s">
        <v>2653</v>
      </c>
      <c r="E89" s="1776" t="s">
        <v>2654</v>
      </c>
      <c r="F89" s="1776" t="s">
        <v>2327</v>
      </c>
      <c r="G89" s="1776" t="s">
        <v>2655</v>
      </c>
      <c r="H89" s="1776" t="s">
        <v>28</v>
      </c>
      <c r="I89" s="1776" t="s">
        <v>886</v>
      </c>
    </row>
    <row r="90" spans="1:9" ht="11.25" customHeight="1">
      <c r="A90" s="1776" t="s">
        <v>2323</v>
      </c>
      <c r="B90" s="1776" t="s">
        <v>16</v>
      </c>
      <c r="C90" s="1776" t="s">
        <v>2656</v>
      </c>
      <c r="D90" s="1776" t="s">
        <v>2657</v>
      </c>
      <c r="E90" s="1776" t="s">
        <v>2658</v>
      </c>
      <c r="F90" s="1776" t="s">
        <v>2659</v>
      </c>
      <c r="G90" s="1776" t="s">
        <v>28</v>
      </c>
      <c r="H90" s="1776" t="s">
        <v>28</v>
      </c>
      <c r="I90" s="1776" t="s">
        <v>886</v>
      </c>
    </row>
    <row r="91" spans="1:9" ht="11.25" customHeight="1">
      <c r="A91" s="1776" t="s">
        <v>2323</v>
      </c>
      <c r="B91" s="1776" t="s">
        <v>16</v>
      </c>
      <c r="C91" s="1776" t="s">
        <v>2660</v>
      </c>
      <c r="D91" s="1776" t="s">
        <v>2661</v>
      </c>
      <c r="E91" s="1776" t="s">
        <v>2662</v>
      </c>
      <c r="F91" s="1776" t="s">
        <v>2597</v>
      </c>
      <c r="G91" s="1776" t="s">
        <v>2366</v>
      </c>
      <c r="H91" s="1776" t="s">
        <v>28</v>
      </c>
      <c r="I91" s="1776" t="s">
        <v>886</v>
      </c>
    </row>
    <row r="92" spans="1:9" ht="11.25" customHeight="1">
      <c r="A92" s="1776" t="s">
        <v>2323</v>
      </c>
      <c r="B92" s="1776" t="s">
        <v>16</v>
      </c>
      <c r="C92" s="1776" t="s">
        <v>2663</v>
      </c>
      <c r="D92" s="1776" t="s">
        <v>2664</v>
      </c>
      <c r="E92" s="1776" t="s">
        <v>2665</v>
      </c>
      <c r="F92" s="1776" t="s">
        <v>2374</v>
      </c>
      <c r="G92" s="1776" t="s">
        <v>28</v>
      </c>
      <c r="H92" s="1776" t="s">
        <v>28</v>
      </c>
      <c r="I92" s="1776" t="s">
        <v>886</v>
      </c>
    </row>
    <row r="93" spans="1:9" ht="11.25" customHeight="1">
      <c r="A93" s="1776" t="s">
        <v>2323</v>
      </c>
      <c r="B93" s="1776" t="s">
        <v>16</v>
      </c>
      <c r="C93" s="1776" t="s">
        <v>2666</v>
      </c>
      <c r="D93" s="1776" t="s">
        <v>2667</v>
      </c>
      <c r="E93" s="1776" t="s">
        <v>2668</v>
      </c>
      <c r="F93" s="1776" t="s">
        <v>2532</v>
      </c>
      <c r="G93" s="1776" t="s">
        <v>28</v>
      </c>
      <c r="H93" s="1776" t="s">
        <v>28</v>
      </c>
      <c r="I93" s="1776" t="s">
        <v>886</v>
      </c>
    </row>
    <row r="94" spans="1:9" ht="11.25" customHeight="1">
      <c r="A94" s="1776" t="s">
        <v>2323</v>
      </c>
      <c r="B94" s="1776" t="s">
        <v>16</v>
      </c>
      <c r="C94" s="1776" t="s">
        <v>2669</v>
      </c>
      <c r="D94" s="1776" t="s">
        <v>2670</v>
      </c>
      <c r="E94" s="1776" t="s">
        <v>2671</v>
      </c>
      <c r="F94" s="1776" t="s">
        <v>2631</v>
      </c>
      <c r="G94" s="1776" t="s">
        <v>2672</v>
      </c>
      <c r="H94" s="1776" t="s">
        <v>28</v>
      </c>
      <c r="I94" s="1776" t="s">
        <v>886</v>
      </c>
    </row>
    <row r="95" spans="1:9" ht="11.25" customHeight="1">
      <c r="A95" s="1776" t="s">
        <v>2323</v>
      </c>
      <c r="B95" s="1776" t="s">
        <v>16</v>
      </c>
      <c r="C95" s="1776" t="s">
        <v>2673</v>
      </c>
      <c r="D95" s="1776" t="s">
        <v>2670</v>
      </c>
      <c r="E95" s="1776" t="s">
        <v>2674</v>
      </c>
      <c r="F95" s="1776" t="s">
        <v>2370</v>
      </c>
      <c r="G95" s="1776" t="s">
        <v>28</v>
      </c>
      <c r="H95" s="1776" t="s">
        <v>28</v>
      </c>
      <c r="I95" s="1776" t="s">
        <v>886</v>
      </c>
    </row>
    <row r="96" spans="1:9" ht="11.25" customHeight="1">
      <c r="A96" s="1776" t="s">
        <v>2323</v>
      </c>
      <c r="B96" s="1776" t="s">
        <v>16</v>
      </c>
      <c r="C96" s="1776" t="s">
        <v>2675</v>
      </c>
      <c r="D96" s="1776" t="s">
        <v>2676</v>
      </c>
      <c r="E96" s="1776" t="s">
        <v>2677</v>
      </c>
      <c r="F96" s="1776" t="s">
        <v>2678</v>
      </c>
      <c r="G96" s="1776" t="s">
        <v>28</v>
      </c>
      <c r="H96" s="1776" t="s">
        <v>28</v>
      </c>
      <c r="I96" s="1776" t="s">
        <v>886</v>
      </c>
    </row>
    <row r="97" spans="1:9" ht="11.25" customHeight="1">
      <c r="A97" s="1776" t="s">
        <v>2323</v>
      </c>
      <c r="B97" s="1776" t="s">
        <v>16</v>
      </c>
      <c r="C97" s="1776" t="s">
        <v>2679</v>
      </c>
      <c r="D97" s="1776" t="s">
        <v>2680</v>
      </c>
      <c r="E97" s="1776" t="s">
        <v>2681</v>
      </c>
      <c r="F97" s="1776" t="s">
        <v>2382</v>
      </c>
      <c r="G97" s="1776" t="s">
        <v>28</v>
      </c>
      <c r="H97" s="1776" t="s">
        <v>28</v>
      </c>
      <c r="I97" s="1776" t="s">
        <v>886</v>
      </c>
    </row>
    <row r="98" spans="1:9" ht="11.25" customHeight="1">
      <c r="A98" s="1776" t="s">
        <v>2323</v>
      </c>
      <c r="B98" s="1776" t="s">
        <v>16</v>
      </c>
      <c r="C98" s="1776" t="s">
        <v>2682</v>
      </c>
      <c r="D98" s="1776" t="s">
        <v>2683</v>
      </c>
      <c r="E98" s="1776" t="s">
        <v>2684</v>
      </c>
      <c r="F98" s="1776" t="s">
        <v>2685</v>
      </c>
      <c r="G98" s="1776" t="s">
        <v>28</v>
      </c>
      <c r="H98" s="1776" t="s">
        <v>28</v>
      </c>
      <c r="I98" s="1776" t="s">
        <v>886</v>
      </c>
    </row>
    <row r="99" spans="1:9" ht="11.25" customHeight="1">
      <c r="A99" s="1776" t="s">
        <v>2323</v>
      </c>
      <c r="B99" s="1776" t="s">
        <v>16</v>
      </c>
      <c r="C99" s="1776" t="s">
        <v>2686</v>
      </c>
      <c r="D99" s="1776" t="s">
        <v>2687</v>
      </c>
      <c r="E99" s="1776" t="s">
        <v>2688</v>
      </c>
      <c r="F99" s="1776" t="s">
        <v>2689</v>
      </c>
      <c r="G99" s="1776" t="s">
        <v>2690</v>
      </c>
      <c r="H99" s="1776" t="s">
        <v>28</v>
      </c>
      <c r="I99" s="1776" t="s">
        <v>886</v>
      </c>
    </row>
    <row r="100" spans="1:9" ht="11.25" customHeight="1">
      <c r="A100" s="1776" t="s">
        <v>2323</v>
      </c>
      <c r="B100" s="1776" t="s">
        <v>16</v>
      </c>
      <c r="C100" s="1776" t="s">
        <v>2691</v>
      </c>
      <c r="D100" s="1776" t="s">
        <v>2692</v>
      </c>
      <c r="E100" s="1776" t="s">
        <v>2693</v>
      </c>
      <c r="F100" s="1776" t="s">
        <v>2327</v>
      </c>
      <c r="G100" s="1776" t="s">
        <v>28</v>
      </c>
      <c r="H100" s="1776" t="s">
        <v>28</v>
      </c>
      <c r="I100" s="1776" t="s">
        <v>886</v>
      </c>
    </row>
    <row r="101" spans="1:9" ht="11.25" customHeight="1">
      <c r="A101" s="1776" t="s">
        <v>2323</v>
      </c>
      <c r="B101" s="1776" t="s">
        <v>16</v>
      </c>
      <c r="C101" s="1776" t="s">
        <v>2694</v>
      </c>
      <c r="D101" s="1776" t="s">
        <v>2695</v>
      </c>
      <c r="E101" s="1776" t="s">
        <v>2696</v>
      </c>
      <c r="F101" s="1776" t="s">
        <v>2391</v>
      </c>
      <c r="G101" s="1776" t="s">
        <v>2697</v>
      </c>
      <c r="H101" s="1776" t="s">
        <v>28</v>
      </c>
      <c r="I101" s="1776" t="s">
        <v>886</v>
      </c>
    </row>
    <row r="102" spans="1:9" ht="11.25" customHeight="1">
      <c r="A102" s="1776" t="s">
        <v>2323</v>
      </c>
      <c r="B102" s="1776" t="s">
        <v>16</v>
      </c>
      <c r="C102" s="1776" t="s">
        <v>2698</v>
      </c>
      <c r="D102" s="1776" t="s">
        <v>2699</v>
      </c>
      <c r="E102" s="1776" t="s">
        <v>2700</v>
      </c>
      <c r="F102" s="1776" t="s">
        <v>2335</v>
      </c>
      <c r="G102" s="1776" t="s">
        <v>2701</v>
      </c>
      <c r="H102" s="1776" t="s">
        <v>28</v>
      </c>
      <c r="I102" s="1776" t="s">
        <v>886</v>
      </c>
    </row>
    <row r="103" spans="1:9" ht="11.25" customHeight="1">
      <c r="A103" s="1776" t="s">
        <v>2323</v>
      </c>
      <c r="B103" s="1776" t="s">
        <v>16</v>
      </c>
      <c r="C103" s="1776" t="s">
        <v>2702</v>
      </c>
      <c r="D103" s="1776" t="s">
        <v>2703</v>
      </c>
      <c r="E103" s="1776" t="s">
        <v>2704</v>
      </c>
      <c r="F103" s="1776" t="s">
        <v>2631</v>
      </c>
      <c r="G103" s="1776" t="s">
        <v>28</v>
      </c>
      <c r="H103" s="1776" t="s">
        <v>28</v>
      </c>
      <c r="I103" s="1776" t="s">
        <v>886</v>
      </c>
    </row>
    <row r="104" spans="1:9" ht="11.25" customHeight="1">
      <c r="A104" s="1776" t="s">
        <v>2323</v>
      </c>
      <c r="B104" s="1776" t="s">
        <v>16</v>
      </c>
      <c r="C104" s="1776" t="s">
        <v>2705</v>
      </c>
      <c r="D104" s="1776" t="s">
        <v>2706</v>
      </c>
      <c r="E104" s="1776" t="s">
        <v>2707</v>
      </c>
      <c r="F104" s="1776" t="s">
        <v>2597</v>
      </c>
      <c r="G104" s="1776" t="s">
        <v>28</v>
      </c>
      <c r="H104" s="1776" t="s">
        <v>28</v>
      </c>
      <c r="I104" s="1776" t="s">
        <v>886</v>
      </c>
    </row>
    <row r="105" spans="1:9" ht="11.25" customHeight="1">
      <c r="A105" s="1776" t="s">
        <v>2323</v>
      </c>
      <c r="B105" s="1776" t="s">
        <v>16</v>
      </c>
      <c r="C105" s="1776" t="s">
        <v>2708</v>
      </c>
      <c r="D105" s="1776" t="s">
        <v>2709</v>
      </c>
      <c r="E105" s="1776" t="s">
        <v>2710</v>
      </c>
      <c r="F105" s="1776" t="s">
        <v>2711</v>
      </c>
      <c r="G105" s="1776" t="s">
        <v>28</v>
      </c>
      <c r="H105" s="1776" t="s">
        <v>28</v>
      </c>
      <c r="I105" s="1776" t="s">
        <v>886</v>
      </c>
    </row>
    <row r="106" spans="1:9" ht="11.25" customHeight="1">
      <c r="A106" s="1776" t="s">
        <v>2323</v>
      </c>
      <c r="B106" s="1776" t="s">
        <v>16</v>
      </c>
      <c r="C106" s="1776" t="s">
        <v>2712</v>
      </c>
      <c r="D106" s="1776" t="s">
        <v>2713</v>
      </c>
      <c r="E106" s="1776" t="s">
        <v>2710</v>
      </c>
      <c r="F106" s="1776" t="s">
        <v>2504</v>
      </c>
      <c r="G106" s="1776" t="s">
        <v>28</v>
      </c>
      <c r="H106" s="1776" t="s">
        <v>28</v>
      </c>
      <c r="I106" s="1776" t="s">
        <v>886</v>
      </c>
    </row>
    <row r="107" spans="1:9" ht="11.25" customHeight="1">
      <c r="A107" s="1776" t="s">
        <v>2323</v>
      </c>
      <c r="B107" s="1776" t="s">
        <v>16</v>
      </c>
      <c r="C107" s="1776" t="s">
        <v>2714</v>
      </c>
      <c r="D107" s="1776" t="s">
        <v>2715</v>
      </c>
      <c r="E107" s="1776" t="s">
        <v>2710</v>
      </c>
      <c r="F107" s="1776" t="s">
        <v>2716</v>
      </c>
      <c r="G107" s="1776" t="s">
        <v>28</v>
      </c>
      <c r="H107" s="1776" t="s">
        <v>28</v>
      </c>
      <c r="I107" s="1776" t="s">
        <v>886</v>
      </c>
    </row>
    <row r="108" spans="1:9" ht="11.25" customHeight="1">
      <c r="A108" s="1776" t="s">
        <v>2323</v>
      </c>
      <c r="B108" s="1776" t="s">
        <v>16</v>
      </c>
      <c r="C108" s="1776" t="s">
        <v>2717</v>
      </c>
      <c r="D108" s="1776" t="s">
        <v>2718</v>
      </c>
      <c r="E108" s="1776" t="s">
        <v>2710</v>
      </c>
      <c r="F108" s="1776" t="s">
        <v>2719</v>
      </c>
      <c r="G108" s="1776" t="s">
        <v>28</v>
      </c>
      <c r="H108" s="1776" t="s">
        <v>28</v>
      </c>
      <c r="I108" s="1776" t="s">
        <v>886</v>
      </c>
    </row>
    <row r="109" spans="1:9" ht="11.25" customHeight="1">
      <c r="A109" s="1776" t="s">
        <v>2323</v>
      </c>
      <c r="B109" s="1776" t="s">
        <v>16</v>
      </c>
      <c r="C109" s="1776" t="s">
        <v>2720</v>
      </c>
      <c r="D109" s="1776" t="s">
        <v>2721</v>
      </c>
      <c r="E109" s="1776" t="s">
        <v>2710</v>
      </c>
      <c r="F109" s="1776" t="s">
        <v>2722</v>
      </c>
      <c r="G109" s="1776" t="s">
        <v>28</v>
      </c>
      <c r="H109" s="1776" t="s">
        <v>28</v>
      </c>
      <c r="I109" s="1776" t="s">
        <v>886</v>
      </c>
    </row>
    <row r="110" spans="1:9" ht="11.25" customHeight="1">
      <c r="A110" s="1776" t="s">
        <v>2323</v>
      </c>
      <c r="B110" s="1776" t="s">
        <v>16</v>
      </c>
      <c r="C110" s="1776" t="s">
        <v>2723</v>
      </c>
      <c r="D110" s="1776" t="s">
        <v>2724</v>
      </c>
      <c r="E110" s="1776" t="s">
        <v>2710</v>
      </c>
      <c r="F110" s="1776" t="s">
        <v>2725</v>
      </c>
      <c r="G110" s="1776" t="s">
        <v>28</v>
      </c>
      <c r="H110" s="1776" t="s">
        <v>28</v>
      </c>
      <c r="I110" s="1776" t="s">
        <v>886</v>
      </c>
    </row>
    <row r="111" spans="1:9" ht="11.25" customHeight="1">
      <c r="A111" s="1776" t="s">
        <v>2323</v>
      </c>
      <c r="B111" s="1776" t="s">
        <v>16</v>
      </c>
      <c r="C111" s="1776" t="s">
        <v>2726</v>
      </c>
      <c r="D111" s="1776" t="s">
        <v>2727</v>
      </c>
      <c r="E111" s="1776" t="s">
        <v>2710</v>
      </c>
      <c r="F111" s="1776" t="s">
        <v>2728</v>
      </c>
      <c r="G111" s="1776" t="s">
        <v>28</v>
      </c>
      <c r="H111" s="1776" t="s">
        <v>28</v>
      </c>
      <c r="I111" s="1776" t="s">
        <v>886</v>
      </c>
    </row>
    <row r="112" spans="1:9" ht="11.25" customHeight="1">
      <c r="A112" s="1776" t="s">
        <v>2323</v>
      </c>
      <c r="B112" s="1776" t="s">
        <v>16</v>
      </c>
      <c r="C112" s="1776" t="s">
        <v>2729</v>
      </c>
      <c r="D112" s="1776" t="s">
        <v>2730</v>
      </c>
      <c r="E112" s="1776" t="s">
        <v>2710</v>
      </c>
      <c r="F112" s="1776" t="s">
        <v>2731</v>
      </c>
      <c r="G112" s="1776" t="s">
        <v>28</v>
      </c>
      <c r="H112" s="1776" t="s">
        <v>28</v>
      </c>
      <c r="I112" s="1776" t="s">
        <v>886</v>
      </c>
    </row>
    <row r="113" spans="1:9" ht="11.25" customHeight="1">
      <c r="A113" s="1776" t="s">
        <v>2323</v>
      </c>
      <c r="B113" s="1776" t="s">
        <v>16</v>
      </c>
      <c r="C113" s="1776" t="s">
        <v>2732</v>
      </c>
      <c r="D113" s="1776" t="s">
        <v>2733</v>
      </c>
      <c r="E113" s="1776" t="s">
        <v>2734</v>
      </c>
      <c r="F113" s="1776" t="s">
        <v>2735</v>
      </c>
      <c r="G113" s="1776" t="s">
        <v>28</v>
      </c>
      <c r="H113" s="1776" t="s">
        <v>28</v>
      </c>
      <c r="I113" s="1776" t="s">
        <v>886</v>
      </c>
    </row>
    <row r="114" spans="1:9" ht="11.25" customHeight="1">
      <c r="A114" s="1776" t="s">
        <v>2323</v>
      </c>
      <c r="B114" s="1776" t="s">
        <v>16</v>
      </c>
      <c r="C114" s="1776" t="s">
        <v>2736</v>
      </c>
      <c r="D114" s="1776" t="s">
        <v>2737</v>
      </c>
      <c r="E114" s="1776" t="s">
        <v>2738</v>
      </c>
      <c r="F114" s="1776" t="s">
        <v>2597</v>
      </c>
      <c r="G114" s="1776" t="s">
        <v>28</v>
      </c>
      <c r="H114" s="1776" t="s">
        <v>28</v>
      </c>
      <c r="I114" s="1776" t="s">
        <v>886</v>
      </c>
    </row>
    <row r="115" spans="1:9" ht="11.25" customHeight="1">
      <c r="A115" s="1776" t="s">
        <v>2323</v>
      </c>
      <c r="B115" s="1776" t="s">
        <v>16</v>
      </c>
      <c r="C115" s="1776" t="s">
        <v>2739</v>
      </c>
      <c r="D115" s="1776" t="s">
        <v>2740</v>
      </c>
      <c r="E115" s="1776" t="s">
        <v>2741</v>
      </c>
      <c r="F115" s="1776" t="s">
        <v>2443</v>
      </c>
      <c r="G115" s="1776" t="s">
        <v>28</v>
      </c>
      <c r="H115" s="1776" t="s">
        <v>28</v>
      </c>
      <c r="I115" s="1776" t="s">
        <v>886</v>
      </c>
    </row>
    <row r="116" spans="1:9" ht="11.25" customHeight="1">
      <c r="A116" s="1776" t="s">
        <v>2323</v>
      </c>
      <c r="B116" s="1776" t="s">
        <v>16</v>
      </c>
      <c r="C116" s="1776" t="s">
        <v>2742</v>
      </c>
      <c r="D116" s="1776" t="s">
        <v>2743</v>
      </c>
      <c r="E116" s="1776" t="s">
        <v>2744</v>
      </c>
      <c r="F116" s="1776" t="s">
        <v>2745</v>
      </c>
      <c r="G116" s="1776" t="s">
        <v>2746</v>
      </c>
      <c r="H116" s="1776" t="s">
        <v>28</v>
      </c>
      <c r="I116" s="1776" t="s">
        <v>886</v>
      </c>
    </row>
    <row r="117" spans="1:9" ht="11.25" customHeight="1">
      <c r="A117" s="1776" t="s">
        <v>2323</v>
      </c>
      <c r="B117" s="1776" t="s">
        <v>16</v>
      </c>
      <c r="C117" s="1776" t="s">
        <v>2747</v>
      </c>
      <c r="D117" s="1776" t="s">
        <v>2748</v>
      </c>
      <c r="E117" s="1776" t="s">
        <v>2749</v>
      </c>
      <c r="F117" s="1776" t="s">
        <v>2750</v>
      </c>
      <c r="G117" s="1776" t="s">
        <v>2751</v>
      </c>
      <c r="H117" s="1776" t="s">
        <v>28</v>
      </c>
      <c r="I117" s="1776" t="s">
        <v>886</v>
      </c>
    </row>
    <row r="118" spans="1:9" ht="11.25" customHeight="1">
      <c r="A118" s="1776" t="s">
        <v>2323</v>
      </c>
      <c r="B118" s="1776" t="s">
        <v>16</v>
      </c>
      <c r="C118" s="1776" t="s">
        <v>2752</v>
      </c>
      <c r="D118" s="1776" t="s">
        <v>2753</v>
      </c>
      <c r="E118" s="1776" t="s">
        <v>2754</v>
      </c>
      <c r="F118" s="1776" t="s">
        <v>2391</v>
      </c>
      <c r="G118" s="1776" t="s">
        <v>2755</v>
      </c>
      <c r="H118" s="1776" t="s">
        <v>28</v>
      </c>
      <c r="I118" s="1776" t="s">
        <v>886</v>
      </c>
    </row>
    <row r="119" spans="1:9" ht="11.25" customHeight="1">
      <c r="A119" s="1776" t="s">
        <v>2323</v>
      </c>
      <c r="B119" s="1776" t="s">
        <v>16</v>
      </c>
      <c r="C119" s="1776" t="s">
        <v>2756</v>
      </c>
      <c r="D119" s="1776" t="s">
        <v>2757</v>
      </c>
      <c r="E119" s="1776" t="s">
        <v>2758</v>
      </c>
      <c r="F119" s="1776" t="s">
        <v>2759</v>
      </c>
      <c r="G119" s="1776" t="s">
        <v>2760</v>
      </c>
      <c r="H119" s="1776" t="s">
        <v>28</v>
      </c>
      <c r="I119" s="1776" t="s">
        <v>886</v>
      </c>
    </row>
    <row r="120" spans="1:9" ht="11.25" customHeight="1">
      <c r="A120" s="1776" t="s">
        <v>2323</v>
      </c>
      <c r="B120" s="1776" t="s">
        <v>16</v>
      </c>
      <c r="C120" s="1776" t="s">
        <v>2761</v>
      </c>
      <c r="D120" s="1776" t="s">
        <v>2762</v>
      </c>
      <c r="E120" s="1776" t="s">
        <v>2763</v>
      </c>
      <c r="F120" s="1776" t="s">
        <v>2627</v>
      </c>
      <c r="G120" s="1776" t="s">
        <v>28</v>
      </c>
      <c r="H120" s="1776" t="s">
        <v>28</v>
      </c>
      <c r="I120" s="1776" t="s">
        <v>886</v>
      </c>
    </row>
    <row r="121" spans="1:9" ht="11.25" customHeight="1">
      <c r="A121" s="1776" t="s">
        <v>2323</v>
      </c>
      <c r="B121" s="1776" t="s">
        <v>16</v>
      </c>
      <c r="C121" s="1776" t="s">
        <v>2764</v>
      </c>
      <c r="D121" s="1776" t="s">
        <v>2765</v>
      </c>
      <c r="E121" s="1776" t="s">
        <v>2766</v>
      </c>
      <c r="F121" s="1776" t="s">
        <v>2382</v>
      </c>
      <c r="G121" s="1776" t="s">
        <v>28</v>
      </c>
      <c r="H121" s="1776" t="s">
        <v>28</v>
      </c>
      <c r="I121" s="1776" t="s">
        <v>886</v>
      </c>
    </row>
    <row r="122" spans="1:9" ht="11.25" customHeight="1">
      <c r="A122" s="1776" t="s">
        <v>2323</v>
      </c>
      <c r="B122" s="1776" t="s">
        <v>16</v>
      </c>
      <c r="C122" s="1776" t="s">
        <v>2767</v>
      </c>
      <c r="D122" s="1776" t="s">
        <v>2768</v>
      </c>
      <c r="E122" s="1776" t="s">
        <v>2769</v>
      </c>
      <c r="F122" s="1776" t="s">
        <v>2382</v>
      </c>
      <c r="G122" s="1776" t="s">
        <v>28</v>
      </c>
      <c r="H122" s="1776" t="s">
        <v>28</v>
      </c>
      <c r="I122" s="1776" t="s">
        <v>886</v>
      </c>
    </row>
    <row r="123" spans="1:9" ht="11.25" customHeight="1">
      <c r="A123" s="1776" t="s">
        <v>2323</v>
      </c>
      <c r="B123" s="1776" t="s">
        <v>16</v>
      </c>
      <c r="C123" s="1776" t="s">
        <v>2770</v>
      </c>
      <c r="D123" s="1776" t="s">
        <v>2771</v>
      </c>
      <c r="E123" s="1776" t="s">
        <v>2772</v>
      </c>
      <c r="F123" s="1776" t="s">
        <v>2773</v>
      </c>
      <c r="G123" s="1776" t="s">
        <v>28</v>
      </c>
      <c r="H123" s="1776" t="s">
        <v>28</v>
      </c>
      <c r="I123" s="1776" t="s">
        <v>886</v>
      </c>
    </row>
    <row r="124" spans="1:9" ht="11.25" customHeight="1">
      <c r="A124" s="1776" t="s">
        <v>2323</v>
      </c>
      <c r="B124" s="1776" t="s">
        <v>16</v>
      </c>
      <c r="C124" s="1776" t="s">
        <v>2774</v>
      </c>
      <c r="D124" s="1776" t="s">
        <v>2775</v>
      </c>
      <c r="E124" s="1776" t="s">
        <v>2776</v>
      </c>
      <c r="F124" s="1776" t="s">
        <v>2451</v>
      </c>
      <c r="G124" s="1776" t="s">
        <v>2777</v>
      </c>
      <c r="H124" s="1776" t="s">
        <v>28</v>
      </c>
      <c r="I124" s="1776" t="s">
        <v>886</v>
      </c>
    </row>
    <row r="125" spans="1:9" ht="11.25" customHeight="1">
      <c r="A125" s="1776" t="s">
        <v>2323</v>
      </c>
      <c r="B125" s="1776" t="s">
        <v>16</v>
      </c>
      <c r="C125" s="1776" t="s">
        <v>2778</v>
      </c>
      <c r="D125" s="1776" t="s">
        <v>2779</v>
      </c>
      <c r="E125" s="1776" t="s">
        <v>2780</v>
      </c>
      <c r="F125" s="1776" t="s">
        <v>2443</v>
      </c>
      <c r="G125" s="1776" t="s">
        <v>28</v>
      </c>
      <c r="H125" s="1776" t="s">
        <v>28</v>
      </c>
      <c r="I125" s="1776" t="s">
        <v>886</v>
      </c>
    </row>
    <row r="126" spans="1:9" ht="11.25" customHeight="1">
      <c r="A126" s="1776" t="s">
        <v>2323</v>
      </c>
      <c r="B126" s="1776" t="s">
        <v>16</v>
      </c>
      <c r="C126" s="1776" t="s">
        <v>2781</v>
      </c>
      <c r="D126" s="1776" t="s">
        <v>2782</v>
      </c>
      <c r="E126" s="1776" t="s">
        <v>2783</v>
      </c>
      <c r="F126" s="1776" t="s">
        <v>2413</v>
      </c>
      <c r="G126" s="1776" t="s">
        <v>2784</v>
      </c>
      <c r="H126" s="1776" t="s">
        <v>28</v>
      </c>
      <c r="I126" s="1776" t="s">
        <v>886</v>
      </c>
    </row>
    <row r="127" spans="1:9" ht="11.25" customHeight="1">
      <c r="A127" s="1776" t="s">
        <v>2323</v>
      </c>
      <c r="B127" s="1776" t="s">
        <v>16</v>
      </c>
      <c r="C127" s="1776" t="s">
        <v>2785</v>
      </c>
      <c r="D127" s="1776" t="s">
        <v>2786</v>
      </c>
      <c r="E127" s="1776" t="s">
        <v>2787</v>
      </c>
      <c r="F127" s="1776" t="s">
        <v>2735</v>
      </c>
      <c r="G127" s="1776" t="s">
        <v>28</v>
      </c>
      <c r="H127" s="1776" t="s">
        <v>28</v>
      </c>
      <c r="I127" s="1776" t="s">
        <v>886</v>
      </c>
    </row>
    <row r="128" spans="1:9" ht="11.25" customHeight="1">
      <c r="A128" s="1776" t="s">
        <v>2323</v>
      </c>
      <c r="B128" s="1776" t="s">
        <v>16</v>
      </c>
      <c r="C128" s="1776" t="s">
        <v>2788</v>
      </c>
      <c r="D128" s="1776" t="s">
        <v>2789</v>
      </c>
      <c r="E128" s="1776" t="s">
        <v>2790</v>
      </c>
      <c r="F128" s="1776" t="s">
        <v>2773</v>
      </c>
      <c r="G128" s="1776" t="s">
        <v>28</v>
      </c>
      <c r="H128" s="1776" t="s">
        <v>28</v>
      </c>
      <c r="I128" s="1776" t="s">
        <v>886</v>
      </c>
    </row>
    <row r="129" spans="1:9" ht="11.25" customHeight="1">
      <c r="A129" s="1776" t="s">
        <v>2323</v>
      </c>
      <c r="B129" s="1776" t="s">
        <v>16</v>
      </c>
      <c r="C129" s="1776" t="s">
        <v>2791</v>
      </c>
      <c r="D129" s="1776" t="s">
        <v>2792</v>
      </c>
      <c r="E129" s="1776" t="s">
        <v>2793</v>
      </c>
      <c r="F129" s="1776" t="s">
        <v>2794</v>
      </c>
      <c r="G129" s="1776" t="s">
        <v>28</v>
      </c>
      <c r="H129" s="1776" t="s">
        <v>28</v>
      </c>
      <c r="I129" s="1776" t="s">
        <v>886</v>
      </c>
    </row>
    <row r="130" spans="1:9" ht="11.25" customHeight="1">
      <c r="A130" s="1776" t="s">
        <v>2323</v>
      </c>
      <c r="B130" s="1776" t="s">
        <v>16</v>
      </c>
      <c r="C130" s="1776" t="s">
        <v>2795</v>
      </c>
      <c r="D130" s="1776" t="s">
        <v>2796</v>
      </c>
      <c r="E130" s="1776" t="s">
        <v>2797</v>
      </c>
      <c r="F130" s="1776" t="s">
        <v>2413</v>
      </c>
      <c r="G130" s="1776" t="s">
        <v>28</v>
      </c>
      <c r="H130" s="1776" t="s">
        <v>28</v>
      </c>
      <c r="I130" s="1776" t="s">
        <v>886</v>
      </c>
    </row>
    <row r="131" spans="1:9" ht="11.25" customHeight="1">
      <c r="A131" s="1776" t="s">
        <v>2323</v>
      </c>
      <c r="B131" s="1776" t="s">
        <v>16</v>
      </c>
      <c r="C131" s="1776" t="s">
        <v>2798</v>
      </c>
      <c r="D131" s="1776" t="s">
        <v>2799</v>
      </c>
      <c r="E131" s="1776" t="s">
        <v>2800</v>
      </c>
      <c r="F131" s="1776" t="s">
        <v>2589</v>
      </c>
      <c r="G131" s="1776" t="s">
        <v>28</v>
      </c>
      <c r="H131" s="1776" t="s">
        <v>28</v>
      </c>
      <c r="I131" s="1776" t="s">
        <v>886</v>
      </c>
    </row>
    <row r="132" spans="1:9" ht="11.25" customHeight="1">
      <c r="A132" s="1776" t="s">
        <v>2323</v>
      </c>
      <c r="B132" s="1776" t="s">
        <v>16</v>
      </c>
      <c r="C132" s="1776" t="s">
        <v>2801</v>
      </c>
      <c r="D132" s="1776" t="s">
        <v>2802</v>
      </c>
      <c r="E132" s="1776" t="s">
        <v>2803</v>
      </c>
      <c r="F132" s="1776" t="s">
        <v>2804</v>
      </c>
      <c r="G132" s="1776" t="s">
        <v>28</v>
      </c>
      <c r="H132" s="1776" t="s">
        <v>28</v>
      </c>
      <c r="I132" s="1776" t="s">
        <v>886</v>
      </c>
    </row>
    <row r="133" spans="1:9" ht="11.25" customHeight="1">
      <c r="A133" s="1776" t="s">
        <v>2323</v>
      </c>
      <c r="B133" s="1776" t="s">
        <v>16</v>
      </c>
      <c r="C133" s="1776" t="s">
        <v>2805</v>
      </c>
      <c r="D133" s="1776" t="s">
        <v>2806</v>
      </c>
      <c r="E133" s="1776" t="s">
        <v>2807</v>
      </c>
      <c r="F133" s="1776" t="s">
        <v>2735</v>
      </c>
      <c r="G133" s="1776" t="s">
        <v>28</v>
      </c>
      <c r="H133" s="1776" t="s">
        <v>28</v>
      </c>
      <c r="I133" s="1776" t="s">
        <v>886</v>
      </c>
    </row>
    <row r="134" spans="1:9" ht="11.25" customHeight="1">
      <c r="A134" s="1776" t="s">
        <v>2323</v>
      </c>
      <c r="B134" s="1776" t="s">
        <v>16</v>
      </c>
      <c r="C134" s="1776" t="s">
        <v>2808</v>
      </c>
      <c r="D134" s="1776" t="s">
        <v>2809</v>
      </c>
      <c r="E134" s="1776" t="s">
        <v>2810</v>
      </c>
      <c r="F134" s="1776" t="s">
        <v>2577</v>
      </c>
      <c r="G134" s="1776" t="s">
        <v>28</v>
      </c>
      <c r="H134" s="1776" t="s">
        <v>28</v>
      </c>
      <c r="I134" s="1776" t="s">
        <v>886</v>
      </c>
    </row>
    <row r="135" spans="1:9" ht="11.25" customHeight="1">
      <c r="A135" s="1776" t="s">
        <v>2323</v>
      </c>
      <c r="B135" s="1776" t="s">
        <v>16</v>
      </c>
      <c r="C135" s="1776" t="s">
        <v>2811</v>
      </c>
      <c r="D135" s="1776" t="s">
        <v>2812</v>
      </c>
      <c r="E135" s="1776" t="s">
        <v>2813</v>
      </c>
      <c r="F135" s="1776" t="s">
        <v>2391</v>
      </c>
      <c r="G135" s="1776" t="s">
        <v>28</v>
      </c>
      <c r="H135" s="1776" t="s">
        <v>28</v>
      </c>
      <c r="I135" s="1776" t="s">
        <v>886</v>
      </c>
    </row>
    <row r="136" spans="1:9" ht="11.25" customHeight="1">
      <c r="A136" s="1776" t="s">
        <v>2323</v>
      </c>
      <c r="B136" s="1776" t="s">
        <v>16</v>
      </c>
      <c r="C136" s="1776" t="s">
        <v>2814</v>
      </c>
      <c r="D136" s="1776" t="s">
        <v>2815</v>
      </c>
      <c r="E136" s="1776" t="s">
        <v>2816</v>
      </c>
      <c r="F136" s="1776" t="s">
        <v>2378</v>
      </c>
      <c r="G136" s="1776" t="s">
        <v>28</v>
      </c>
      <c r="H136" s="1776" t="s">
        <v>28</v>
      </c>
      <c r="I136" s="1776" t="s">
        <v>886</v>
      </c>
    </row>
    <row r="137" spans="1:9" ht="11.25" customHeight="1">
      <c r="A137" s="1776" t="s">
        <v>2323</v>
      </c>
      <c r="B137" s="1776" t="s">
        <v>16</v>
      </c>
      <c r="C137" s="1776" t="s">
        <v>2817</v>
      </c>
      <c r="D137" s="1776" t="s">
        <v>2818</v>
      </c>
      <c r="E137" s="1776" t="s">
        <v>2819</v>
      </c>
      <c r="F137" s="1776" t="s">
        <v>2570</v>
      </c>
      <c r="G137" s="1776" t="s">
        <v>28</v>
      </c>
      <c r="H137" s="1776" t="s">
        <v>28</v>
      </c>
      <c r="I137" s="1776" t="s">
        <v>886</v>
      </c>
    </row>
    <row r="138" spans="1:9" ht="11.25" customHeight="1">
      <c r="A138" s="1776" t="s">
        <v>2323</v>
      </c>
      <c r="B138" s="1776" t="s">
        <v>16</v>
      </c>
      <c r="C138" s="1776" t="s">
        <v>2820</v>
      </c>
      <c r="D138" s="1776" t="s">
        <v>2821</v>
      </c>
      <c r="E138" s="1776" t="s">
        <v>2822</v>
      </c>
      <c r="F138" s="1776" t="s">
        <v>2823</v>
      </c>
      <c r="G138" s="1776" t="s">
        <v>28</v>
      </c>
      <c r="H138" s="1776" t="s">
        <v>28</v>
      </c>
      <c r="I138" s="1776" t="s">
        <v>886</v>
      </c>
    </row>
    <row r="139" spans="1:9" ht="11.25" customHeight="1">
      <c r="A139" s="1776" t="s">
        <v>2323</v>
      </c>
      <c r="B139" s="1776" t="s">
        <v>16</v>
      </c>
      <c r="C139" s="1776" t="s">
        <v>2824</v>
      </c>
      <c r="D139" s="1776" t="s">
        <v>2825</v>
      </c>
      <c r="E139" s="1776" t="s">
        <v>2826</v>
      </c>
      <c r="F139" s="1776" t="s">
        <v>2395</v>
      </c>
      <c r="G139" s="1776" t="s">
        <v>28</v>
      </c>
      <c r="H139" s="1776" t="s">
        <v>28</v>
      </c>
      <c r="I139" s="1776" t="s">
        <v>886</v>
      </c>
    </row>
    <row r="140" spans="1:9" ht="11.25" customHeight="1">
      <c r="A140" s="1776" t="s">
        <v>2323</v>
      </c>
      <c r="B140" s="1776" t="s">
        <v>16</v>
      </c>
      <c r="C140" s="1776" t="s">
        <v>2827</v>
      </c>
      <c r="D140" s="1776" t="s">
        <v>2828</v>
      </c>
      <c r="E140" s="1776" t="s">
        <v>2829</v>
      </c>
      <c r="F140" s="1776" t="s">
        <v>2413</v>
      </c>
      <c r="G140" s="1776" t="s">
        <v>2830</v>
      </c>
      <c r="H140" s="1776" t="s">
        <v>28</v>
      </c>
      <c r="I140" s="1776" t="s">
        <v>886</v>
      </c>
    </row>
    <row r="141" spans="1:9" ht="11.25" customHeight="1">
      <c r="A141" s="1776" t="s">
        <v>2323</v>
      </c>
      <c r="B141" s="1776" t="s">
        <v>16</v>
      </c>
      <c r="C141" s="1776" t="s">
        <v>2831</v>
      </c>
      <c r="D141" s="1776" t="s">
        <v>2832</v>
      </c>
      <c r="E141" s="1776" t="s">
        <v>2833</v>
      </c>
      <c r="F141" s="1776" t="s">
        <v>2834</v>
      </c>
      <c r="G141" s="1776" t="s">
        <v>28</v>
      </c>
      <c r="H141" s="1776" t="s">
        <v>28</v>
      </c>
      <c r="I141" s="1776" t="s">
        <v>886</v>
      </c>
    </row>
    <row r="142" spans="1:9" ht="11.25" customHeight="1">
      <c r="A142" s="1776" t="s">
        <v>2323</v>
      </c>
      <c r="B142" s="1776" t="s">
        <v>16</v>
      </c>
      <c r="C142" s="1776" t="s">
        <v>2835</v>
      </c>
      <c r="D142" s="1776" t="s">
        <v>2836</v>
      </c>
      <c r="E142" s="1776" t="s">
        <v>2342</v>
      </c>
      <c r="F142" s="1776" t="s">
        <v>2837</v>
      </c>
      <c r="G142" s="1776" t="s">
        <v>28</v>
      </c>
      <c r="H142" s="1776" t="s">
        <v>28</v>
      </c>
      <c r="I142" s="1776" t="s">
        <v>886</v>
      </c>
    </row>
    <row r="143" spans="1:9" ht="11.25" customHeight="1">
      <c r="A143" s="1776" t="s">
        <v>2323</v>
      </c>
      <c r="B143" s="1776" t="s">
        <v>16</v>
      </c>
      <c r="C143" s="1776" t="s">
        <v>2838</v>
      </c>
      <c r="D143" s="1776" t="s">
        <v>2839</v>
      </c>
      <c r="E143" s="1776" t="s">
        <v>2840</v>
      </c>
      <c r="F143" s="1776" t="s">
        <v>2382</v>
      </c>
      <c r="G143" s="1776" t="s">
        <v>28</v>
      </c>
      <c r="H143" s="1776" t="s">
        <v>28</v>
      </c>
      <c r="I143" s="1776" t="s">
        <v>886</v>
      </c>
    </row>
    <row r="144" spans="1:9" ht="11.25" customHeight="1">
      <c r="A144" s="1776" t="s">
        <v>2323</v>
      </c>
      <c r="B144" s="1776" t="s">
        <v>16</v>
      </c>
      <c r="C144" s="1776" t="s">
        <v>2841</v>
      </c>
      <c r="D144" s="1776" t="s">
        <v>2842</v>
      </c>
      <c r="E144" s="1776" t="s">
        <v>2843</v>
      </c>
      <c r="F144" s="1776" t="s">
        <v>2844</v>
      </c>
      <c r="G144" s="1776" t="s">
        <v>28</v>
      </c>
      <c r="H144" s="1776" t="s">
        <v>28</v>
      </c>
      <c r="I144" s="1776" t="s">
        <v>886</v>
      </c>
    </row>
    <row r="145" spans="1:9" ht="11.25" customHeight="1">
      <c r="A145" s="1776" t="s">
        <v>2323</v>
      </c>
      <c r="B145" s="1776" t="s">
        <v>16</v>
      </c>
      <c r="C145" s="1776" t="s">
        <v>28</v>
      </c>
      <c r="D145" s="1776" t="s">
        <v>2845</v>
      </c>
      <c r="E145" s="1776" t="s">
        <v>2846</v>
      </c>
      <c r="F145" s="1776" t="s">
        <v>2589</v>
      </c>
      <c r="G145" s="1776" t="s">
        <v>28</v>
      </c>
      <c r="H145" s="1776" t="s">
        <v>28</v>
      </c>
      <c r="I145" s="1776" t="s">
        <v>886</v>
      </c>
    </row>
    <row r="146" spans="1:9" ht="11.25" customHeight="1">
      <c r="A146" s="1776" t="s">
        <v>2323</v>
      </c>
      <c r="B146" s="1776" t="s">
        <v>16</v>
      </c>
      <c r="C146" s="1776" t="s">
        <v>2847</v>
      </c>
      <c r="D146" s="1776" t="s">
        <v>2848</v>
      </c>
      <c r="E146" s="1776" t="s">
        <v>50</v>
      </c>
      <c r="F146" s="1776" t="s">
        <v>2849</v>
      </c>
      <c r="G146" s="1776" t="s">
        <v>28</v>
      </c>
      <c r="H146" s="1776" t="s">
        <v>28</v>
      </c>
      <c r="I146" s="1776" t="s">
        <v>886</v>
      </c>
    </row>
    <row r="147" spans="1:9" ht="11.25" customHeight="1">
      <c r="A147" s="1776" t="s">
        <v>2323</v>
      </c>
      <c r="B147" s="1776" t="s">
        <v>16</v>
      </c>
      <c r="C147" s="1776" t="s">
        <v>2850</v>
      </c>
      <c r="D147" s="1776" t="s">
        <v>2851</v>
      </c>
      <c r="E147" s="1776" t="s">
        <v>2852</v>
      </c>
      <c r="F147" s="1776" t="s">
        <v>2365</v>
      </c>
      <c r="G147" s="1776" t="s">
        <v>28</v>
      </c>
      <c r="H147" s="1776" t="s">
        <v>28</v>
      </c>
      <c r="I147" s="1776" t="s">
        <v>886</v>
      </c>
    </row>
    <row r="148" spans="1:9" ht="11.25" customHeight="1">
      <c r="A148" s="1776" t="s">
        <v>2323</v>
      </c>
      <c r="B148" s="1776" t="s">
        <v>16</v>
      </c>
      <c r="C148" s="1776" t="s">
        <v>13</v>
      </c>
      <c r="D148" s="1776" t="s">
        <v>47</v>
      </c>
      <c r="E148" s="1776" t="s">
        <v>50</v>
      </c>
      <c r="F148" s="1776" t="s">
        <v>52</v>
      </c>
      <c r="G148" s="1776" t="s">
        <v>28</v>
      </c>
      <c r="H148" s="1776" t="s">
        <v>28</v>
      </c>
      <c r="I148" s="1776" t="s">
        <v>886</v>
      </c>
    </row>
    <row r="149" spans="1:9" ht="11.25" customHeight="1">
      <c r="A149" s="1776" t="s">
        <v>2323</v>
      </c>
      <c r="B149" s="1776" t="s">
        <v>16</v>
      </c>
      <c r="C149" s="1776" t="s">
        <v>2853</v>
      </c>
      <c r="D149" s="1776" t="s">
        <v>2854</v>
      </c>
      <c r="E149" s="1776" t="s">
        <v>2855</v>
      </c>
      <c r="F149" s="1776" t="s">
        <v>2570</v>
      </c>
      <c r="G149" s="1776" t="s">
        <v>28</v>
      </c>
      <c r="H149" s="1776" t="s">
        <v>28</v>
      </c>
      <c r="I149" s="1776" t="s">
        <v>886</v>
      </c>
    </row>
    <row r="150" spans="1:9" ht="11.25" customHeight="1">
      <c r="A150" s="1776" t="s">
        <v>2323</v>
      </c>
      <c r="B150" s="1776" t="s">
        <v>16</v>
      </c>
      <c r="C150" s="1776" t="s">
        <v>2856</v>
      </c>
      <c r="D150" s="1776" t="s">
        <v>2857</v>
      </c>
      <c r="E150" s="1776" t="s">
        <v>2858</v>
      </c>
      <c r="F150" s="1776" t="s">
        <v>2859</v>
      </c>
      <c r="G150" s="1776" t="s">
        <v>28</v>
      </c>
      <c r="H150" s="1776" t="s">
        <v>28</v>
      </c>
      <c r="I150" s="1776" t="s">
        <v>886</v>
      </c>
    </row>
    <row r="151" spans="1:9" ht="11.25" customHeight="1">
      <c r="A151" s="1776" t="s">
        <v>2323</v>
      </c>
      <c r="B151" s="1776" t="s">
        <v>16</v>
      </c>
      <c r="C151" s="1776" t="s">
        <v>2860</v>
      </c>
      <c r="D151" s="1776" t="s">
        <v>2861</v>
      </c>
      <c r="E151" s="1776" t="s">
        <v>2862</v>
      </c>
      <c r="F151" s="1776" t="s">
        <v>2391</v>
      </c>
      <c r="G151" s="1776" t="s">
        <v>28</v>
      </c>
      <c r="H151" s="1776" t="s">
        <v>28</v>
      </c>
      <c r="I151" s="1776" t="s">
        <v>886</v>
      </c>
    </row>
    <row r="152" spans="1:9" ht="11.25" customHeight="1">
      <c r="A152" s="1776" t="s">
        <v>2323</v>
      </c>
      <c r="B152" s="1776" t="s">
        <v>16</v>
      </c>
      <c r="C152" s="1776" t="s">
        <v>2863</v>
      </c>
      <c r="D152" s="1776" t="s">
        <v>2864</v>
      </c>
      <c r="E152" s="1776" t="s">
        <v>2865</v>
      </c>
      <c r="F152" s="1776" t="s">
        <v>2577</v>
      </c>
      <c r="G152" s="1776" t="s">
        <v>28</v>
      </c>
      <c r="H152" s="1776" t="s">
        <v>28</v>
      </c>
      <c r="I152" s="1776" t="s">
        <v>886</v>
      </c>
    </row>
    <row r="153" spans="1:9" ht="11.25" customHeight="1">
      <c r="A153" s="1776" t="s">
        <v>2323</v>
      </c>
      <c r="B153" s="1776" t="s">
        <v>16</v>
      </c>
      <c r="C153" s="1776" t="s">
        <v>2866</v>
      </c>
      <c r="D153" s="1776" t="s">
        <v>2867</v>
      </c>
      <c r="E153" s="1776" t="s">
        <v>2868</v>
      </c>
      <c r="F153" s="1776" t="s">
        <v>2577</v>
      </c>
      <c r="G153" s="1776" t="s">
        <v>28</v>
      </c>
      <c r="H153" s="1776" t="s">
        <v>28</v>
      </c>
      <c r="I153" s="1776" t="s">
        <v>886</v>
      </c>
    </row>
    <row r="154" spans="1:9" ht="11.25" customHeight="1">
      <c r="A154" s="1776" t="s">
        <v>2323</v>
      </c>
      <c r="B154" s="1776" t="s">
        <v>16</v>
      </c>
      <c r="C154" s="1776" t="s">
        <v>2869</v>
      </c>
      <c r="D154" s="1776" t="s">
        <v>2870</v>
      </c>
      <c r="E154" s="1776" t="s">
        <v>2871</v>
      </c>
      <c r="F154" s="1776" t="s">
        <v>2872</v>
      </c>
      <c r="G154" s="1776" t="s">
        <v>28</v>
      </c>
      <c r="H154" s="1776" t="s">
        <v>28</v>
      </c>
      <c r="I154" s="1776" t="s">
        <v>886</v>
      </c>
    </row>
    <row r="155" spans="1:9" ht="11.25" customHeight="1">
      <c r="A155" s="1776" t="s">
        <v>2323</v>
      </c>
      <c r="B155" s="1776" t="s">
        <v>16</v>
      </c>
      <c r="C155" s="1776" t="s">
        <v>2873</v>
      </c>
      <c r="D155" s="1776" t="s">
        <v>2874</v>
      </c>
      <c r="E155" s="1776" t="s">
        <v>2858</v>
      </c>
      <c r="F155" s="1776" t="s">
        <v>2875</v>
      </c>
      <c r="G155" s="1776" t="s">
        <v>28</v>
      </c>
      <c r="H155" s="1776" t="s">
        <v>28</v>
      </c>
      <c r="I155" s="1776" t="s">
        <v>886</v>
      </c>
    </row>
    <row r="156" spans="1:9" ht="11.25" customHeight="1">
      <c r="A156" s="1776" t="s">
        <v>2323</v>
      </c>
      <c r="B156" s="1776" t="s">
        <v>16</v>
      </c>
      <c r="C156" s="1776" t="s">
        <v>2876</v>
      </c>
      <c r="D156" s="1776" t="s">
        <v>2877</v>
      </c>
      <c r="E156" s="1776" t="s">
        <v>2878</v>
      </c>
      <c r="F156" s="1776" t="s">
        <v>2879</v>
      </c>
      <c r="G156" s="1776" t="s">
        <v>28</v>
      </c>
      <c r="H156" s="1776" t="s">
        <v>28</v>
      </c>
      <c r="I156" s="1776" t="s">
        <v>886</v>
      </c>
    </row>
    <row r="157" spans="1:9" ht="11.25" customHeight="1">
      <c r="A157" s="1776" t="s">
        <v>2323</v>
      </c>
      <c r="B157" s="1776" t="s">
        <v>16</v>
      </c>
      <c r="C157" s="1776" t="s">
        <v>2880</v>
      </c>
      <c r="D157" s="1776" t="s">
        <v>2881</v>
      </c>
      <c r="E157" s="1776" t="s">
        <v>2878</v>
      </c>
      <c r="F157" s="1776" t="s">
        <v>2882</v>
      </c>
      <c r="G157" s="1776" t="s">
        <v>2883</v>
      </c>
      <c r="H157" s="1776" t="s">
        <v>28</v>
      </c>
      <c r="I157" s="1776" t="s">
        <v>886</v>
      </c>
    </row>
    <row r="158" spans="1:9" ht="11.25" customHeight="1">
      <c r="A158" s="1776" t="s">
        <v>2323</v>
      </c>
      <c r="B158" s="1776" t="s">
        <v>16</v>
      </c>
      <c r="C158" s="1776" t="s">
        <v>2884</v>
      </c>
      <c r="D158" s="1776" t="s">
        <v>2885</v>
      </c>
      <c r="E158" s="1776" t="s">
        <v>2886</v>
      </c>
      <c r="F158" s="1776" t="s">
        <v>2887</v>
      </c>
      <c r="G158" s="1776" t="s">
        <v>2888</v>
      </c>
      <c r="H158" s="1776" t="s">
        <v>28</v>
      </c>
      <c r="I158" s="1776" t="s">
        <v>886</v>
      </c>
    </row>
    <row r="159" spans="1:9" ht="11.25" customHeight="1">
      <c r="A159" s="1776" t="s">
        <v>2323</v>
      </c>
      <c r="B159" s="1776" t="s">
        <v>16</v>
      </c>
      <c r="C159" s="1776" t="s">
        <v>2889</v>
      </c>
      <c r="D159" s="1776" t="s">
        <v>2890</v>
      </c>
      <c r="E159" s="1776" t="s">
        <v>2390</v>
      </c>
      <c r="F159" s="1776" t="s">
        <v>2875</v>
      </c>
      <c r="G159" s="1776" t="s">
        <v>28</v>
      </c>
      <c r="H159" s="1776" t="s">
        <v>28</v>
      </c>
      <c r="I159" s="1776" t="s">
        <v>886</v>
      </c>
    </row>
    <row r="160" spans="1:9" ht="11.25" customHeight="1">
      <c r="A160" s="1776" t="s">
        <v>2323</v>
      </c>
      <c r="B160" s="1776" t="s">
        <v>16</v>
      </c>
      <c r="C160" s="1776" t="s">
        <v>2891</v>
      </c>
      <c r="D160" s="1776" t="s">
        <v>2892</v>
      </c>
      <c r="E160" s="1776" t="s">
        <v>2893</v>
      </c>
      <c r="F160" s="1776" t="s">
        <v>2894</v>
      </c>
      <c r="G160" s="1776" t="s">
        <v>28</v>
      </c>
      <c r="H160" s="1776" t="s">
        <v>28</v>
      </c>
      <c r="I160" s="1776" t="s">
        <v>886</v>
      </c>
    </row>
    <row r="161" spans="1:9" ht="11.25" customHeight="1">
      <c r="A161" s="1776" t="s">
        <v>2323</v>
      </c>
      <c r="B161" s="1776" t="s">
        <v>16</v>
      </c>
      <c r="C161" s="1776" t="s">
        <v>2895</v>
      </c>
      <c r="D161" s="1776" t="s">
        <v>2896</v>
      </c>
      <c r="E161" s="1776" t="s">
        <v>2897</v>
      </c>
      <c r="F161" s="1776" t="s">
        <v>2898</v>
      </c>
      <c r="G161" s="1776" t="s">
        <v>28</v>
      </c>
      <c r="H161" s="1776" t="s">
        <v>28</v>
      </c>
      <c r="I161" s="1776" t="s">
        <v>886</v>
      </c>
    </row>
    <row r="162" spans="1:9" ht="11.25" customHeight="1">
      <c r="A162" s="1776" t="s">
        <v>2323</v>
      </c>
      <c r="B162" s="1776" t="s">
        <v>16</v>
      </c>
      <c r="C162" s="1776" t="s">
        <v>2899</v>
      </c>
      <c r="D162" s="1776" t="s">
        <v>2900</v>
      </c>
      <c r="E162" s="1776" t="s">
        <v>2901</v>
      </c>
      <c r="F162" s="1776" t="s">
        <v>2902</v>
      </c>
      <c r="G162" s="1776" t="s">
        <v>28</v>
      </c>
      <c r="H162" s="1776" t="s">
        <v>28</v>
      </c>
      <c r="I162" s="1776" t="s">
        <v>886</v>
      </c>
    </row>
    <row r="163" spans="1:9" ht="11.25" customHeight="1">
      <c r="A163" s="1776" t="s">
        <v>2323</v>
      </c>
      <c r="B163" s="1776" t="s">
        <v>16</v>
      </c>
      <c r="C163" s="1776" t="s">
        <v>2903</v>
      </c>
      <c r="D163" s="1776" t="s">
        <v>2904</v>
      </c>
      <c r="E163" s="1776" t="s">
        <v>2905</v>
      </c>
      <c r="F163" s="1776" t="s">
        <v>2906</v>
      </c>
      <c r="G163" s="1776" t="s">
        <v>28</v>
      </c>
      <c r="H163" s="1776" t="s">
        <v>28</v>
      </c>
      <c r="I163" s="1776" t="s">
        <v>886</v>
      </c>
    </row>
    <row r="164" spans="1:9" ht="11.25" customHeight="1">
      <c r="A164" s="1776" t="s">
        <v>2323</v>
      </c>
      <c r="B164" s="1776" t="s">
        <v>16</v>
      </c>
      <c r="C164" s="1776" t="s">
        <v>2907</v>
      </c>
      <c r="D164" s="1776" t="s">
        <v>2908</v>
      </c>
      <c r="E164" s="1776" t="s">
        <v>2843</v>
      </c>
      <c r="F164" s="1776" t="s">
        <v>2909</v>
      </c>
      <c r="G164" s="1776" t="s">
        <v>28</v>
      </c>
      <c r="H164" s="1776" t="s">
        <v>28</v>
      </c>
      <c r="I164" s="1776" t="s">
        <v>886</v>
      </c>
    </row>
    <row r="165" spans="1:9" ht="11.25" customHeight="1">
      <c r="A165" s="1776" t="s">
        <v>2323</v>
      </c>
      <c r="B165" s="1776" t="s">
        <v>16</v>
      </c>
      <c r="C165" s="1776" t="s">
        <v>2910</v>
      </c>
      <c r="D165" s="1776" t="s">
        <v>2911</v>
      </c>
      <c r="E165" s="1776" t="s">
        <v>2912</v>
      </c>
      <c r="F165" s="1776" t="s">
        <v>2906</v>
      </c>
      <c r="G165" s="1776" t="s">
        <v>2888</v>
      </c>
      <c r="H165" s="1776" t="s">
        <v>28</v>
      </c>
      <c r="I165" s="1776" t="s">
        <v>886</v>
      </c>
    </row>
    <row r="166" spans="1:9" ht="11.25" customHeight="1">
      <c r="A166" s="1776" t="s">
        <v>2323</v>
      </c>
      <c r="B166" s="1776" t="s">
        <v>16</v>
      </c>
      <c r="C166" s="1776" t="s">
        <v>2375</v>
      </c>
      <c r="D166" s="1776" t="s">
        <v>2376</v>
      </c>
      <c r="E166" s="1776" t="s">
        <v>2377</v>
      </c>
      <c r="F166" s="1776" t="s">
        <v>2378</v>
      </c>
      <c r="G166" s="1776" t="s">
        <v>28</v>
      </c>
      <c r="H166" s="1776" t="s">
        <v>28</v>
      </c>
      <c r="I166" s="1776" t="s">
        <v>972</v>
      </c>
    </row>
    <row r="167" spans="1:9" ht="11.25" customHeight="1">
      <c r="A167" s="1776" t="s">
        <v>2323</v>
      </c>
      <c r="B167" s="1776" t="s">
        <v>16</v>
      </c>
      <c r="C167" s="1776" t="s">
        <v>2379</v>
      </c>
      <c r="D167" s="1776" t="s">
        <v>2380</v>
      </c>
      <c r="E167" s="1776" t="s">
        <v>2381</v>
      </c>
      <c r="F167" s="1776" t="s">
        <v>2382</v>
      </c>
      <c r="G167" s="1776" t="s">
        <v>28</v>
      </c>
      <c r="H167" s="1776" t="s">
        <v>28</v>
      </c>
      <c r="I167" s="1776" t="s">
        <v>972</v>
      </c>
    </row>
    <row r="168" spans="1:9" ht="11.25" customHeight="1">
      <c r="A168" s="1776" t="s">
        <v>2323</v>
      </c>
      <c r="B168" s="1776" t="s">
        <v>16</v>
      </c>
      <c r="C168" s="1776" t="s">
        <v>2388</v>
      </c>
      <c r="D168" s="1776" t="s">
        <v>2389</v>
      </c>
      <c r="E168" s="1776" t="s">
        <v>2390</v>
      </c>
      <c r="F168" s="1776" t="s">
        <v>2391</v>
      </c>
      <c r="G168" s="1776" t="s">
        <v>28</v>
      </c>
      <c r="H168" s="1776" t="s">
        <v>28</v>
      </c>
      <c r="I168" s="1776" t="s">
        <v>972</v>
      </c>
    </row>
    <row r="169" spans="1:9" ht="11.25" customHeight="1">
      <c r="A169" s="1776" t="s">
        <v>2323</v>
      </c>
      <c r="B169" s="1776" t="s">
        <v>16</v>
      </c>
      <c r="C169" s="1776" t="s">
        <v>2414</v>
      </c>
      <c r="D169" s="1776" t="s">
        <v>2415</v>
      </c>
      <c r="E169" s="1776" t="s">
        <v>2416</v>
      </c>
      <c r="F169" s="1776" t="s">
        <v>2370</v>
      </c>
      <c r="G169" s="1776" t="s">
        <v>28</v>
      </c>
      <c r="H169" s="1776" t="s">
        <v>28</v>
      </c>
      <c r="I169" s="1776" t="s">
        <v>972</v>
      </c>
    </row>
    <row r="170" spans="1:9" ht="11.25" customHeight="1">
      <c r="A170" s="1776" t="s">
        <v>2323</v>
      </c>
      <c r="B170" s="1776" t="s">
        <v>16</v>
      </c>
      <c r="C170" s="1776" t="s">
        <v>2417</v>
      </c>
      <c r="D170" s="1776" t="s">
        <v>2418</v>
      </c>
      <c r="E170" s="1776" t="s">
        <v>2419</v>
      </c>
      <c r="F170" s="1776" t="s">
        <v>2420</v>
      </c>
      <c r="G170" s="1776" t="s">
        <v>28</v>
      </c>
      <c r="H170" s="1776" t="s">
        <v>28</v>
      </c>
      <c r="I170" s="1776" t="s">
        <v>972</v>
      </c>
    </row>
    <row r="171" spans="1:9" ht="11.25" customHeight="1">
      <c r="A171" s="1776" t="s">
        <v>2323</v>
      </c>
      <c r="B171" s="1776" t="s">
        <v>16</v>
      </c>
      <c r="C171" s="1776" t="s">
        <v>2448</v>
      </c>
      <c r="D171" s="1776" t="s">
        <v>2449</v>
      </c>
      <c r="E171" s="1776" t="s">
        <v>2450</v>
      </c>
      <c r="F171" s="1776" t="s">
        <v>2451</v>
      </c>
      <c r="G171" s="1776" t="s">
        <v>28</v>
      </c>
      <c r="H171" s="1776" t="s">
        <v>28</v>
      </c>
      <c r="I171" s="1776" t="s">
        <v>972</v>
      </c>
    </row>
    <row r="172" spans="1:9" ht="11.25" customHeight="1">
      <c r="A172" s="1776" t="s">
        <v>2323</v>
      </c>
      <c r="B172" s="1776" t="s">
        <v>16</v>
      </c>
      <c r="C172" s="1776" t="s">
        <v>2452</v>
      </c>
      <c r="D172" s="1776" t="s">
        <v>2453</v>
      </c>
      <c r="E172" s="1776" t="s">
        <v>2454</v>
      </c>
      <c r="F172" s="1776" t="s">
        <v>2455</v>
      </c>
      <c r="G172" s="1776" t="s">
        <v>28</v>
      </c>
      <c r="H172" s="1776" t="s">
        <v>28</v>
      </c>
      <c r="I172" s="1776" t="s">
        <v>972</v>
      </c>
    </row>
    <row r="173" spans="1:9" ht="11.25" customHeight="1">
      <c r="A173" s="1776" t="s">
        <v>2323</v>
      </c>
      <c r="B173" s="1776" t="s">
        <v>16</v>
      </c>
      <c r="C173" s="1776" t="s">
        <v>2456</v>
      </c>
      <c r="D173" s="1776" t="s">
        <v>2457</v>
      </c>
      <c r="E173" s="1776" t="s">
        <v>2458</v>
      </c>
      <c r="F173" s="1776" t="s">
        <v>2459</v>
      </c>
      <c r="G173" s="1776" t="s">
        <v>28</v>
      </c>
      <c r="H173" s="1776" t="s">
        <v>28</v>
      </c>
      <c r="I173" s="1776" t="s">
        <v>972</v>
      </c>
    </row>
    <row r="174" spans="1:9" ht="11.25" customHeight="1">
      <c r="A174" s="1776" t="s">
        <v>2323</v>
      </c>
      <c r="B174" s="1776" t="s">
        <v>16</v>
      </c>
      <c r="C174" s="1776" t="s">
        <v>2464</v>
      </c>
      <c r="D174" s="1776" t="s">
        <v>2465</v>
      </c>
      <c r="E174" s="1776" t="s">
        <v>2466</v>
      </c>
      <c r="F174" s="1776" t="s">
        <v>2382</v>
      </c>
      <c r="G174" s="1776" t="s">
        <v>2467</v>
      </c>
      <c r="H174" s="1776" t="s">
        <v>28</v>
      </c>
      <c r="I174" s="1776" t="s">
        <v>972</v>
      </c>
    </row>
    <row r="175" spans="1:9" ht="11.25" customHeight="1">
      <c r="A175" s="1776" t="s">
        <v>2323</v>
      </c>
      <c r="B175" s="1776" t="s">
        <v>16</v>
      </c>
      <c r="C175" s="1776" t="s">
        <v>2479</v>
      </c>
      <c r="D175" s="1776" t="s">
        <v>2480</v>
      </c>
      <c r="E175" s="1776" t="s">
        <v>2481</v>
      </c>
      <c r="F175" s="1776" t="s">
        <v>2459</v>
      </c>
      <c r="G175" s="1776" t="s">
        <v>28</v>
      </c>
      <c r="H175" s="1776" t="s">
        <v>28</v>
      </c>
      <c r="I175" s="1776" t="s">
        <v>972</v>
      </c>
    </row>
    <row r="176" spans="1:9" ht="11.25" customHeight="1">
      <c r="A176" s="1776" t="s">
        <v>2323</v>
      </c>
      <c r="B176" s="1776" t="s">
        <v>16</v>
      </c>
      <c r="C176" s="1776" t="s">
        <v>2486</v>
      </c>
      <c r="D176" s="1776" t="s">
        <v>2487</v>
      </c>
      <c r="E176" s="1776" t="s">
        <v>2488</v>
      </c>
      <c r="F176" s="1776" t="s">
        <v>2443</v>
      </c>
      <c r="G176" s="1776" t="s">
        <v>2489</v>
      </c>
      <c r="H176" s="1776" t="s">
        <v>28</v>
      </c>
      <c r="I176" s="1776" t="s">
        <v>972</v>
      </c>
    </row>
    <row r="177" spans="1:9" ht="11.25" customHeight="1">
      <c r="A177" s="1776" t="s">
        <v>2323</v>
      </c>
      <c r="B177" s="1776" t="s">
        <v>16</v>
      </c>
      <c r="C177" s="1776" t="s">
        <v>2490</v>
      </c>
      <c r="D177" s="1776" t="s">
        <v>2491</v>
      </c>
      <c r="E177" s="1776" t="s">
        <v>2492</v>
      </c>
      <c r="F177" s="1776" t="s">
        <v>2493</v>
      </c>
      <c r="G177" s="1776" t="s">
        <v>28</v>
      </c>
      <c r="H177" s="1776" t="s">
        <v>28</v>
      </c>
      <c r="I177" s="1776" t="s">
        <v>972</v>
      </c>
    </row>
    <row r="178" spans="1:9" ht="11.25" customHeight="1">
      <c r="A178" s="1776" t="s">
        <v>2323</v>
      </c>
      <c r="B178" s="1776" t="s">
        <v>16</v>
      </c>
      <c r="C178" s="1776" t="s">
        <v>2498</v>
      </c>
      <c r="D178" s="1776" t="s">
        <v>2499</v>
      </c>
      <c r="E178" s="1776" t="s">
        <v>2500</v>
      </c>
      <c r="F178" s="1776" t="s">
        <v>2413</v>
      </c>
      <c r="G178" s="1776" t="s">
        <v>28</v>
      </c>
      <c r="H178" s="1776" t="s">
        <v>28</v>
      </c>
      <c r="I178" s="1776" t="s">
        <v>972</v>
      </c>
    </row>
    <row r="179" spans="1:9" ht="11.25" customHeight="1">
      <c r="A179" s="1776" t="s">
        <v>2323</v>
      </c>
      <c r="B179" s="1776" t="s">
        <v>16</v>
      </c>
      <c r="C179" s="1776" t="s">
        <v>2505</v>
      </c>
      <c r="D179" s="1776" t="s">
        <v>2506</v>
      </c>
      <c r="E179" s="1776" t="s">
        <v>2507</v>
      </c>
      <c r="F179" s="1776" t="s">
        <v>2459</v>
      </c>
      <c r="G179" s="1776" t="s">
        <v>2508</v>
      </c>
      <c r="H179" s="1776" t="s">
        <v>28</v>
      </c>
      <c r="I179" s="1776" t="s">
        <v>972</v>
      </c>
    </row>
    <row r="180" spans="1:9" ht="11.25" customHeight="1">
      <c r="A180" s="1776" t="s">
        <v>2323</v>
      </c>
      <c r="B180" s="1776" t="s">
        <v>16</v>
      </c>
      <c r="C180" s="1776" t="s">
        <v>2512</v>
      </c>
      <c r="D180" s="1776" t="s">
        <v>2513</v>
      </c>
      <c r="E180" s="1776" t="s">
        <v>2514</v>
      </c>
      <c r="F180" s="1776" t="s">
        <v>2515</v>
      </c>
      <c r="G180" s="1776" t="s">
        <v>28</v>
      </c>
      <c r="H180" s="1776" t="s">
        <v>28</v>
      </c>
      <c r="I180" s="1776" t="s">
        <v>972</v>
      </c>
    </row>
    <row r="181" spans="1:9" ht="11.25" customHeight="1">
      <c r="A181" s="1776" t="s">
        <v>2323</v>
      </c>
      <c r="B181" s="1776" t="s">
        <v>16</v>
      </c>
      <c r="C181" s="1776" t="s">
        <v>2526</v>
      </c>
      <c r="D181" s="1776" t="s">
        <v>2527</v>
      </c>
      <c r="E181" s="1776" t="s">
        <v>2528</v>
      </c>
      <c r="F181" s="1776" t="s">
        <v>2365</v>
      </c>
      <c r="G181" s="1776" t="s">
        <v>28</v>
      </c>
      <c r="H181" s="1776" t="s">
        <v>28</v>
      </c>
      <c r="I181" s="1776" t="s">
        <v>972</v>
      </c>
    </row>
    <row r="182" spans="1:9" ht="11.25" customHeight="1">
      <c r="A182" s="1776" t="s">
        <v>2323</v>
      </c>
      <c r="B182" s="1776" t="s">
        <v>16</v>
      </c>
      <c r="C182" s="1776" t="s">
        <v>2553</v>
      </c>
      <c r="D182" s="1776" t="s">
        <v>2554</v>
      </c>
      <c r="E182" s="1776" t="s">
        <v>2555</v>
      </c>
      <c r="F182" s="1776" t="s">
        <v>2556</v>
      </c>
      <c r="G182" s="1776" t="s">
        <v>28</v>
      </c>
      <c r="H182" s="1776" t="s">
        <v>28</v>
      </c>
      <c r="I182" s="1776" t="s">
        <v>972</v>
      </c>
    </row>
    <row r="183" spans="1:9" ht="11.25" customHeight="1">
      <c r="A183" s="1776" t="s">
        <v>2323</v>
      </c>
      <c r="B183" s="1776" t="s">
        <v>16</v>
      </c>
      <c r="C183" s="1776" t="s">
        <v>2560</v>
      </c>
      <c r="D183" s="1776" t="s">
        <v>2561</v>
      </c>
      <c r="E183" s="1776" t="s">
        <v>2562</v>
      </c>
      <c r="F183" s="1776" t="s">
        <v>2331</v>
      </c>
      <c r="G183" s="1776" t="s">
        <v>28</v>
      </c>
      <c r="H183" s="1776" t="s">
        <v>28</v>
      </c>
      <c r="I183" s="1776" t="s">
        <v>972</v>
      </c>
    </row>
    <row r="184" spans="1:9" ht="11.25" customHeight="1">
      <c r="A184" s="1776" t="s">
        <v>2323</v>
      </c>
      <c r="B184" s="1776" t="s">
        <v>16</v>
      </c>
      <c r="C184" s="1776" t="s">
        <v>2563</v>
      </c>
      <c r="D184" s="1776" t="s">
        <v>2564</v>
      </c>
      <c r="E184" s="1776" t="s">
        <v>2565</v>
      </c>
      <c r="F184" s="1776" t="s">
        <v>2566</v>
      </c>
      <c r="G184" s="1776" t="s">
        <v>28</v>
      </c>
      <c r="H184" s="1776" t="s">
        <v>28</v>
      </c>
      <c r="I184" s="1776" t="s">
        <v>972</v>
      </c>
    </row>
    <row r="185" spans="1:9" ht="11.25" customHeight="1">
      <c r="A185" s="1776" t="s">
        <v>2323</v>
      </c>
      <c r="B185" s="1776" t="s">
        <v>16</v>
      </c>
      <c r="C185" s="1776" t="s">
        <v>2590</v>
      </c>
      <c r="D185" s="1776" t="s">
        <v>2591</v>
      </c>
      <c r="E185" s="1776" t="s">
        <v>2592</v>
      </c>
      <c r="F185" s="1776" t="s">
        <v>2593</v>
      </c>
      <c r="G185" s="1776" t="s">
        <v>28</v>
      </c>
      <c r="H185" s="1776" t="s">
        <v>28</v>
      </c>
      <c r="I185" s="1776" t="s">
        <v>972</v>
      </c>
    </row>
    <row r="186" spans="1:9" ht="11.25" customHeight="1">
      <c r="A186" s="1776" t="s">
        <v>2323</v>
      </c>
      <c r="B186" s="1776" t="s">
        <v>16</v>
      </c>
      <c r="C186" s="1776" t="s">
        <v>2624</v>
      </c>
      <c r="D186" s="1776" t="s">
        <v>2625</v>
      </c>
      <c r="E186" s="1776" t="s">
        <v>2626</v>
      </c>
      <c r="F186" s="1776" t="s">
        <v>2627</v>
      </c>
      <c r="G186" s="1776" t="s">
        <v>28</v>
      </c>
      <c r="H186" s="1776" t="s">
        <v>28</v>
      </c>
      <c r="I186" s="1776" t="s">
        <v>972</v>
      </c>
    </row>
    <row r="187" spans="1:9" ht="11.25" customHeight="1">
      <c r="A187" s="1776" t="s">
        <v>2323</v>
      </c>
      <c r="B187" s="1776" t="s">
        <v>16</v>
      </c>
      <c r="C187" s="1776" t="s">
        <v>2632</v>
      </c>
      <c r="D187" s="1776" t="s">
        <v>2633</v>
      </c>
      <c r="E187" s="1776" t="s">
        <v>2634</v>
      </c>
      <c r="F187" s="1776" t="s">
        <v>2627</v>
      </c>
      <c r="G187" s="1776" t="s">
        <v>2635</v>
      </c>
      <c r="H187" s="1776" t="s">
        <v>28</v>
      </c>
      <c r="I187" s="1776" t="s">
        <v>972</v>
      </c>
    </row>
    <row r="188" spans="1:9" ht="11.25" customHeight="1">
      <c r="A188" s="1776" t="s">
        <v>2323</v>
      </c>
      <c r="B188" s="1776" t="s">
        <v>16</v>
      </c>
      <c r="C188" s="1776" t="s">
        <v>2640</v>
      </c>
      <c r="D188" s="1776" t="s">
        <v>2641</v>
      </c>
      <c r="E188" s="1776" t="s">
        <v>2642</v>
      </c>
      <c r="F188" s="1776" t="s">
        <v>2327</v>
      </c>
      <c r="G188" s="1776" t="s">
        <v>2643</v>
      </c>
      <c r="H188" s="1776" t="s">
        <v>28</v>
      </c>
      <c r="I188" s="1776" t="s">
        <v>972</v>
      </c>
    </row>
    <row r="189" spans="1:9" ht="11.25" customHeight="1">
      <c r="A189" s="1776" t="s">
        <v>2323</v>
      </c>
      <c r="B189" s="1776" t="s">
        <v>16</v>
      </c>
      <c r="C189" s="1776" t="s">
        <v>2644</v>
      </c>
      <c r="D189" s="1776" t="s">
        <v>2645</v>
      </c>
      <c r="E189" s="1776" t="s">
        <v>2646</v>
      </c>
      <c r="F189" s="1776" t="s">
        <v>2436</v>
      </c>
      <c r="G189" s="1776" t="s">
        <v>2647</v>
      </c>
      <c r="H189" s="1776" t="s">
        <v>28</v>
      </c>
      <c r="I189" s="1776" t="s">
        <v>972</v>
      </c>
    </row>
    <row r="190" spans="1:9" ht="11.25" customHeight="1">
      <c r="A190" s="1776" t="s">
        <v>2323</v>
      </c>
      <c r="B190" s="1776" t="s">
        <v>16</v>
      </c>
      <c r="C190" s="1776" t="s">
        <v>2691</v>
      </c>
      <c r="D190" s="1776" t="s">
        <v>2692</v>
      </c>
      <c r="E190" s="1776" t="s">
        <v>2693</v>
      </c>
      <c r="F190" s="1776" t="s">
        <v>2327</v>
      </c>
      <c r="G190" s="1776" t="s">
        <v>28</v>
      </c>
      <c r="H190" s="1776" t="s">
        <v>28</v>
      </c>
      <c r="I190" s="1776" t="s">
        <v>972</v>
      </c>
    </row>
    <row r="191" spans="1:9" ht="11.25" customHeight="1">
      <c r="A191" s="1776" t="s">
        <v>2323</v>
      </c>
      <c r="B191" s="1776" t="s">
        <v>16</v>
      </c>
      <c r="C191" s="1776" t="s">
        <v>2694</v>
      </c>
      <c r="D191" s="1776" t="s">
        <v>2695</v>
      </c>
      <c r="E191" s="1776" t="s">
        <v>2696</v>
      </c>
      <c r="F191" s="1776" t="s">
        <v>2391</v>
      </c>
      <c r="G191" s="1776" t="s">
        <v>2697</v>
      </c>
      <c r="H191" s="1776" t="s">
        <v>28</v>
      </c>
      <c r="I191" s="1776" t="s">
        <v>972</v>
      </c>
    </row>
    <row r="192" spans="1:9" ht="11.25" customHeight="1">
      <c r="A192" s="1776" t="s">
        <v>2323</v>
      </c>
      <c r="B192" s="1776" t="s">
        <v>16</v>
      </c>
      <c r="C192" s="1776" t="s">
        <v>2698</v>
      </c>
      <c r="D192" s="1776" t="s">
        <v>2699</v>
      </c>
      <c r="E192" s="1776" t="s">
        <v>2700</v>
      </c>
      <c r="F192" s="1776" t="s">
        <v>2335</v>
      </c>
      <c r="G192" s="1776" t="s">
        <v>2701</v>
      </c>
      <c r="H192" s="1776" t="s">
        <v>28</v>
      </c>
      <c r="I192" s="1776" t="s">
        <v>972</v>
      </c>
    </row>
    <row r="193" spans="1:9" ht="11.25" customHeight="1">
      <c r="A193" s="1776" t="s">
        <v>2323</v>
      </c>
      <c r="B193" s="1776" t="s">
        <v>16</v>
      </c>
      <c r="C193" s="1776" t="s">
        <v>2913</v>
      </c>
      <c r="D193" s="1776" t="s">
        <v>2914</v>
      </c>
      <c r="E193" s="1776" t="s">
        <v>2696</v>
      </c>
      <c r="F193" s="1776" t="s">
        <v>2631</v>
      </c>
      <c r="G193" s="1776" t="s">
        <v>2915</v>
      </c>
      <c r="H193" s="1776" t="s">
        <v>28</v>
      </c>
      <c r="I193" s="1776" t="s">
        <v>972</v>
      </c>
    </row>
    <row r="194" spans="1:9" ht="11.25" customHeight="1">
      <c r="A194" s="1776" t="s">
        <v>2323</v>
      </c>
      <c r="B194" s="1776" t="s">
        <v>16</v>
      </c>
      <c r="C194" s="1776" t="s">
        <v>2705</v>
      </c>
      <c r="D194" s="1776" t="s">
        <v>2706</v>
      </c>
      <c r="E194" s="1776" t="s">
        <v>2707</v>
      </c>
      <c r="F194" s="1776" t="s">
        <v>2597</v>
      </c>
      <c r="G194" s="1776" t="s">
        <v>28</v>
      </c>
      <c r="H194" s="1776" t="s">
        <v>28</v>
      </c>
      <c r="I194" s="1776" t="s">
        <v>972</v>
      </c>
    </row>
    <row r="195" spans="1:9" ht="11.25" customHeight="1">
      <c r="A195" s="1776" t="s">
        <v>2323</v>
      </c>
      <c r="B195" s="1776" t="s">
        <v>16</v>
      </c>
      <c r="C195" s="1776" t="s">
        <v>2717</v>
      </c>
      <c r="D195" s="1776" t="s">
        <v>2718</v>
      </c>
      <c r="E195" s="1776" t="s">
        <v>2710</v>
      </c>
      <c r="F195" s="1776" t="s">
        <v>2719</v>
      </c>
      <c r="G195" s="1776" t="s">
        <v>28</v>
      </c>
      <c r="H195" s="1776" t="s">
        <v>28</v>
      </c>
      <c r="I195" s="1776" t="s">
        <v>972</v>
      </c>
    </row>
    <row r="196" spans="1:9" ht="11.25" customHeight="1">
      <c r="A196" s="1776" t="s">
        <v>2323</v>
      </c>
      <c r="B196" s="1776" t="s">
        <v>16</v>
      </c>
      <c r="C196" s="1776" t="s">
        <v>2752</v>
      </c>
      <c r="D196" s="1776" t="s">
        <v>2753</v>
      </c>
      <c r="E196" s="1776" t="s">
        <v>2754</v>
      </c>
      <c r="F196" s="1776" t="s">
        <v>2391</v>
      </c>
      <c r="G196" s="1776" t="s">
        <v>2755</v>
      </c>
      <c r="H196" s="1776" t="s">
        <v>28</v>
      </c>
      <c r="I196" s="1776" t="s">
        <v>972</v>
      </c>
    </row>
    <row r="197" spans="1:9" ht="11.25" customHeight="1">
      <c r="A197" s="1776" t="s">
        <v>2323</v>
      </c>
      <c r="B197" s="1776" t="s">
        <v>16</v>
      </c>
      <c r="C197" s="1776" t="s">
        <v>2761</v>
      </c>
      <c r="D197" s="1776" t="s">
        <v>2762</v>
      </c>
      <c r="E197" s="1776" t="s">
        <v>2763</v>
      </c>
      <c r="F197" s="1776" t="s">
        <v>2627</v>
      </c>
      <c r="G197" s="1776" t="s">
        <v>28</v>
      </c>
      <c r="H197" s="1776" t="s">
        <v>28</v>
      </c>
      <c r="I197" s="1776" t="s">
        <v>972</v>
      </c>
    </row>
    <row r="198" spans="1:9" ht="11.25" customHeight="1">
      <c r="A198" s="1776" t="s">
        <v>2323</v>
      </c>
      <c r="B198" s="1776" t="s">
        <v>16</v>
      </c>
      <c r="C198" s="1776" t="s">
        <v>2770</v>
      </c>
      <c r="D198" s="1776" t="s">
        <v>2771</v>
      </c>
      <c r="E198" s="1776" t="s">
        <v>2772</v>
      </c>
      <c r="F198" s="1776" t="s">
        <v>2773</v>
      </c>
      <c r="G198" s="1776" t="s">
        <v>28</v>
      </c>
      <c r="H198" s="1776" t="s">
        <v>28</v>
      </c>
      <c r="I198" s="1776" t="s">
        <v>972</v>
      </c>
    </row>
    <row r="199" spans="1:9" ht="11.25" customHeight="1">
      <c r="A199" s="1776" t="s">
        <v>2323</v>
      </c>
      <c r="B199" s="1776" t="s">
        <v>16</v>
      </c>
      <c r="C199" s="1776" t="s">
        <v>2774</v>
      </c>
      <c r="D199" s="1776" t="s">
        <v>2775</v>
      </c>
      <c r="E199" s="1776" t="s">
        <v>2776</v>
      </c>
      <c r="F199" s="1776" t="s">
        <v>2451</v>
      </c>
      <c r="G199" s="1776" t="s">
        <v>2777</v>
      </c>
      <c r="H199" s="1776" t="s">
        <v>28</v>
      </c>
      <c r="I199" s="1776" t="s">
        <v>972</v>
      </c>
    </row>
    <row r="200" spans="1:9" ht="11.25" customHeight="1">
      <c r="A200" s="1776" t="s">
        <v>2323</v>
      </c>
      <c r="B200" s="1776" t="s">
        <v>16</v>
      </c>
      <c r="C200" s="1776" t="s">
        <v>2781</v>
      </c>
      <c r="D200" s="1776" t="s">
        <v>2782</v>
      </c>
      <c r="E200" s="1776" t="s">
        <v>2783</v>
      </c>
      <c r="F200" s="1776" t="s">
        <v>2413</v>
      </c>
      <c r="G200" s="1776" t="s">
        <v>2784</v>
      </c>
      <c r="H200" s="1776" t="s">
        <v>28</v>
      </c>
      <c r="I200" s="1776" t="s">
        <v>972</v>
      </c>
    </row>
    <row r="201" spans="1:9" ht="11.25" customHeight="1">
      <c r="A201" s="1776" t="s">
        <v>2323</v>
      </c>
      <c r="B201" s="1776" t="s">
        <v>16</v>
      </c>
      <c r="C201" s="1776" t="s">
        <v>2788</v>
      </c>
      <c r="D201" s="1776" t="s">
        <v>2789</v>
      </c>
      <c r="E201" s="1776" t="s">
        <v>2790</v>
      </c>
      <c r="F201" s="1776" t="s">
        <v>2773</v>
      </c>
      <c r="G201" s="1776" t="s">
        <v>28</v>
      </c>
      <c r="H201" s="1776" t="s">
        <v>28</v>
      </c>
      <c r="I201" s="1776" t="s">
        <v>972</v>
      </c>
    </row>
    <row r="202" spans="1:9" ht="11.25" customHeight="1">
      <c r="A202" s="1776" t="s">
        <v>2323</v>
      </c>
      <c r="B202" s="1776" t="s">
        <v>16</v>
      </c>
      <c r="C202" s="1776" t="s">
        <v>2791</v>
      </c>
      <c r="D202" s="1776" t="s">
        <v>2792</v>
      </c>
      <c r="E202" s="1776" t="s">
        <v>2793</v>
      </c>
      <c r="F202" s="1776" t="s">
        <v>2794</v>
      </c>
      <c r="G202" s="1776" t="s">
        <v>28</v>
      </c>
      <c r="H202" s="1776" t="s">
        <v>28</v>
      </c>
      <c r="I202" s="1776" t="s">
        <v>972</v>
      </c>
    </row>
    <row r="203" spans="1:9" ht="11.25" customHeight="1">
      <c r="A203" s="1776" t="s">
        <v>2323</v>
      </c>
      <c r="B203" s="1776" t="s">
        <v>16</v>
      </c>
      <c r="C203" s="1776" t="s">
        <v>2801</v>
      </c>
      <c r="D203" s="1776" t="s">
        <v>2802</v>
      </c>
      <c r="E203" s="1776" t="s">
        <v>2803</v>
      </c>
      <c r="F203" s="1776" t="s">
        <v>2804</v>
      </c>
      <c r="G203" s="1776" t="s">
        <v>28</v>
      </c>
      <c r="H203" s="1776" t="s">
        <v>28</v>
      </c>
      <c r="I203" s="1776" t="s">
        <v>972</v>
      </c>
    </row>
    <row r="204" spans="1:9" ht="11.25" customHeight="1">
      <c r="A204" s="1776" t="s">
        <v>2323</v>
      </c>
      <c r="B204" s="1776" t="s">
        <v>16</v>
      </c>
      <c r="C204" s="1776" t="s">
        <v>2811</v>
      </c>
      <c r="D204" s="1776" t="s">
        <v>2812</v>
      </c>
      <c r="E204" s="1776" t="s">
        <v>2813</v>
      </c>
      <c r="F204" s="1776" t="s">
        <v>2391</v>
      </c>
      <c r="G204" s="1776" t="s">
        <v>28</v>
      </c>
      <c r="H204" s="1776" t="s">
        <v>28</v>
      </c>
      <c r="I204" s="1776" t="s">
        <v>972</v>
      </c>
    </row>
    <row r="205" spans="1:9" ht="11.25" customHeight="1">
      <c r="A205" s="1776" t="s">
        <v>2323</v>
      </c>
      <c r="B205" s="1776" t="s">
        <v>16</v>
      </c>
      <c r="C205" s="1776" t="s">
        <v>2824</v>
      </c>
      <c r="D205" s="1776" t="s">
        <v>2825</v>
      </c>
      <c r="E205" s="1776" t="s">
        <v>2826</v>
      </c>
      <c r="F205" s="1776" t="s">
        <v>2395</v>
      </c>
      <c r="G205" s="1776" t="s">
        <v>28</v>
      </c>
      <c r="H205" s="1776" t="s">
        <v>28</v>
      </c>
      <c r="I205" s="1776" t="s">
        <v>972</v>
      </c>
    </row>
    <row r="206" spans="1:9" ht="11.25" customHeight="1">
      <c r="A206" s="1776" t="s">
        <v>2323</v>
      </c>
      <c r="B206" s="1776" t="s">
        <v>16</v>
      </c>
      <c r="C206" s="1776" t="s">
        <v>28</v>
      </c>
      <c r="D206" s="1776" t="s">
        <v>2845</v>
      </c>
      <c r="E206" s="1776" t="s">
        <v>2846</v>
      </c>
      <c r="F206" s="1776" t="s">
        <v>2589</v>
      </c>
      <c r="G206" s="1776" t="s">
        <v>28</v>
      </c>
      <c r="H206" s="1776" t="s">
        <v>28</v>
      </c>
      <c r="I206" s="1776" t="s">
        <v>972</v>
      </c>
    </row>
    <row r="207" spans="1:9" ht="11.25" customHeight="1">
      <c r="A207" s="1776" t="s">
        <v>2323</v>
      </c>
      <c r="B207" s="1776" t="s">
        <v>16</v>
      </c>
      <c r="C207" s="1776" t="s">
        <v>2850</v>
      </c>
      <c r="D207" s="1776" t="s">
        <v>2851</v>
      </c>
      <c r="E207" s="1776" t="s">
        <v>2852</v>
      </c>
      <c r="F207" s="1776" t="s">
        <v>2365</v>
      </c>
      <c r="G207" s="1776" t="s">
        <v>28</v>
      </c>
      <c r="H207" s="1776" t="s">
        <v>28</v>
      </c>
      <c r="I207" s="1776" t="s">
        <v>972</v>
      </c>
    </row>
    <row r="208" spans="1:9" ht="11.25" customHeight="1">
      <c r="A208" s="1776" t="s">
        <v>2323</v>
      </c>
      <c r="B208" s="1776" t="s">
        <v>16</v>
      </c>
      <c r="C208" s="1776" t="s">
        <v>13</v>
      </c>
      <c r="D208" s="1776" t="s">
        <v>47</v>
      </c>
      <c r="E208" s="1776" t="s">
        <v>50</v>
      </c>
      <c r="F208" s="1776" t="s">
        <v>52</v>
      </c>
      <c r="G208" s="1776" t="s">
        <v>28</v>
      </c>
      <c r="H208" s="1776" t="s">
        <v>28</v>
      </c>
      <c r="I208" s="1776" t="s">
        <v>972</v>
      </c>
    </row>
    <row r="209" spans="1:9" ht="11.25" customHeight="1">
      <c r="A209" s="1776" t="s">
        <v>2323</v>
      </c>
      <c r="B209" s="1776" t="s">
        <v>16</v>
      </c>
      <c r="C209" s="1776" t="s">
        <v>2876</v>
      </c>
      <c r="D209" s="1776" t="s">
        <v>2877</v>
      </c>
      <c r="E209" s="1776" t="s">
        <v>2878</v>
      </c>
      <c r="F209" s="1776" t="s">
        <v>2879</v>
      </c>
      <c r="G209" s="1776" t="s">
        <v>28</v>
      </c>
      <c r="H209" s="1776" t="s">
        <v>28</v>
      </c>
      <c r="I209" s="1776" t="s">
        <v>972</v>
      </c>
    </row>
    <row r="210" spans="1:9" ht="11.25" customHeight="1">
      <c r="A210" s="1776" t="s">
        <v>2323</v>
      </c>
      <c r="B210" s="1776" t="s">
        <v>16</v>
      </c>
      <c r="C210" s="1776" t="s">
        <v>2880</v>
      </c>
      <c r="D210" s="1776" t="s">
        <v>2881</v>
      </c>
      <c r="E210" s="1776" t="s">
        <v>2878</v>
      </c>
      <c r="F210" s="1776" t="s">
        <v>2882</v>
      </c>
      <c r="G210" s="1776" t="s">
        <v>2883</v>
      </c>
      <c r="H210" s="1776" t="s">
        <v>28</v>
      </c>
      <c r="I210" s="1776" t="s">
        <v>972</v>
      </c>
    </row>
    <row r="211" spans="1:9" ht="11.25" customHeight="1">
      <c r="A211" s="1776" t="s">
        <v>2323</v>
      </c>
      <c r="B211" s="1776" t="s">
        <v>16</v>
      </c>
      <c r="C211" s="1776" t="s">
        <v>2889</v>
      </c>
      <c r="D211" s="1776" t="s">
        <v>2890</v>
      </c>
      <c r="E211" s="1776" t="s">
        <v>2390</v>
      </c>
      <c r="F211" s="1776" t="s">
        <v>2875</v>
      </c>
      <c r="G211" s="1776" t="s">
        <v>28</v>
      </c>
      <c r="H211" s="1776" t="s">
        <v>28</v>
      </c>
      <c r="I211" s="1776" t="s">
        <v>972</v>
      </c>
    </row>
    <row r="212" spans="1:9" ht="11.25" customHeight="1">
      <c r="A212" s="1776" t="s">
        <v>2323</v>
      </c>
      <c r="B212" s="1776" t="s">
        <v>16</v>
      </c>
      <c r="C212" s="1776" t="s">
        <v>2895</v>
      </c>
      <c r="D212" s="1776" t="s">
        <v>2896</v>
      </c>
      <c r="E212" s="1776" t="s">
        <v>2897</v>
      </c>
      <c r="F212" s="1776" t="s">
        <v>2898</v>
      </c>
      <c r="G212" s="1776" t="s">
        <v>28</v>
      </c>
      <c r="H212" s="1776" t="s">
        <v>28</v>
      </c>
      <c r="I212" s="1776" t="s">
        <v>972</v>
      </c>
    </row>
    <row r="213" spans="1:9" ht="11.25" customHeight="1">
      <c r="A213" s="1776" t="s">
        <v>2323</v>
      </c>
      <c r="B213" s="1776" t="s">
        <v>16</v>
      </c>
      <c r="C213" s="1776" t="s">
        <v>2332</v>
      </c>
      <c r="D213" s="1776" t="s">
        <v>2333</v>
      </c>
      <c r="E213" s="1776" t="s">
        <v>2334</v>
      </c>
      <c r="F213" s="1776" t="s">
        <v>2335</v>
      </c>
      <c r="G213" s="1776" t="s">
        <v>28</v>
      </c>
      <c r="H213" s="1776" t="s">
        <v>28</v>
      </c>
      <c r="I213" s="1776" t="s">
        <v>932</v>
      </c>
    </row>
    <row r="214" spans="1:9" ht="11.25" customHeight="1">
      <c r="A214" s="1776" t="s">
        <v>2323</v>
      </c>
      <c r="B214" s="1776" t="s">
        <v>16</v>
      </c>
      <c r="C214" s="1776" t="s">
        <v>2362</v>
      </c>
      <c r="D214" s="1776" t="s">
        <v>2363</v>
      </c>
      <c r="E214" s="1776" t="s">
        <v>2364</v>
      </c>
      <c r="F214" s="1776" t="s">
        <v>2365</v>
      </c>
      <c r="G214" s="1776" t="s">
        <v>2366</v>
      </c>
      <c r="H214" s="1776" t="s">
        <v>28</v>
      </c>
      <c r="I214" s="1776" t="s">
        <v>932</v>
      </c>
    </row>
    <row r="215" spans="1:9" ht="11.25" customHeight="1">
      <c r="A215" s="1776" t="s">
        <v>2323</v>
      </c>
      <c r="B215" s="1776" t="s">
        <v>16</v>
      </c>
      <c r="C215" s="1776" t="s">
        <v>2916</v>
      </c>
      <c r="D215" s="1776" t="s">
        <v>2917</v>
      </c>
      <c r="E215" s="1776" t="s">
        <v>2918</v>
      </c>
      <c r="F215" s="1776" t="s">
        <v>2378</v>
      </c>
      <c r="G215" s="1776" t="s">
        <v>28</v>
      </c>
      <c r="H215" s="1776" t="s">
        <v>28</v>
      </c>
      <c r="I215" s="1776" t="s">
        <v>932</v>
      </c>
    </row>
    <row r="216" spans="1:9" ht="11.25" customHeight="1">
      <c r="A216" s="1776" t="s">
        <v>2323</v>
      </c>
      <c r="B216" s="1776" t="s">
        <v>16</v>
      </c>
      <c r="C216" s="1776" t="s">
        <v>2919</v>
      </c>
      <c r="D216" s="1776" t="s">
        <v>2920</v>
      </c>
      <c r="E216" s="1776" t="s">
        <v>2921</v>
      </c>
      <c r="F216" s="1776" t="s">
        <v>2922</v>
      </c>
      <c r="G216" s="1776" t="s">
        <v>28</v>
      </c>
      <c r="H216" s="1776" t="s">
        <v>28</v>
      </c>
      <c r="I216" s="1776" t="s">
        <v>932</v>
      </c>
    </row>
    <row r="217" spans="1:9" ht="11.25" customHeight="1">
      <c r="A217" s="1776" t="s">
        <v>2323</v>
      </c>
      <c r="B217" s="1776" t="s">
        <v>16</v>
      </c>
      <c r="C217" s="1776" t="s">
        <v>2399</v>
      </c>
      <c r="D217" s="1776" t="s">
        <v>2400</v>
      </c>
      <c r="E217" s="1776" t="s">
        <v>2401</v>
      </c>
      <c r="F217" s="1776" t="s">
        <v>2402</v>
      </c>
      <c r="G217" s="1776" t="s">
        <v>28</v>
      </c>
      <c r="H217" s="1776" t="s">
        <v>28</v>
      </c>
      <c r="I217" s="1776" t="s">
        <v>932</v>
      </c>
    </row>
    <row r="218" spans="1:9" ht="11.25" customHeight="1">
      <c r="A218" s="1776" t="s">
        <v>2323</v>
      </c>
      <c r="B218" s="1776" t="s">
        <v>16</v>
      </c>
      <c r="C218" s="1776" t="s">
        <v>2923</v>
      </c>
      <c r="D218" s="1776" t="s">
        <v>2924</v>
      </c>
      <c r="E218" s="1776" t="s">
        <v>2925</v>
      </c>
      <c r="F218" s="1776" t="s">
        <v>2589</v>
      </c>
      <c r="G218" s="1776" t="s">
        <v>2926</v>
      </c>
      <c r="H218" s="1776" t="s">
        <v>28</v>
      </c>
      <c r="I218" s="1776" t="s">
        <v>932</v>
      </c>
    </row>
    <row r="219" spans="1:9" ht="11.25" customHeight="1">
      <c r="A219" s="1776" t="s">
        <v>2323</v>
      </c>
      <c r="B219" s="1776" t="s">
        <v>16</v>
      </c>
      <c r="C219" s="1776" t="s">
        <v>2417</v>
      </c>
      <c r="D219" s="1776" t="s">
        <v>2418</v>
      </c>
      <c r="E219" s="1776" t="s">
        <v>2419</v>
      </c>
      <c r="F219" s="1776" t="s">
        <v>2420</v>
      </c>
      <c r="G219" s="1776" t="s">
        <v>28</v>
      </c>
      <c r="H219" s="1776" t="s">
        <v>28</v>
      </c>
      <c r="I219" s="1776" t="s">
        <v>932</v>
      </c>
    </row>
    <row r="220" spans="1:9" ht="11.25" customHeight="1">
      <c r="A220" s="1776" t="s">
        <v>2323</v>
      </c>
      <c r="B220" s="1776" t="s">
        <v>16</v>
      </c>
      <c r="C220" s="1776" t="s">
        <v>2927</v>
      </c>
      <c r="D220" s="1776" t="s">
        <v>2928</v>
      </c>
      <c r="E220" s="1776" t="s">
        <v>2929</v>
      </c>
      <c r="F220" s="1776" t="s">
        <v>2589</v>
      </c>
      <c r="G220" s="1776" t="s">
        <v>2930</v>
      </c>
      <c r="H220" s="1776" t="s">
        <v>28</v>
      </c>
      <c r="I220" s="1776" t="s">
        <v>932</v>
      </c>
    </row>
    <row r="221" spans="1:9" ht="11.25" customHeight="1">
      <c r="A221" s="1776" t="s">
        <v>2323</v>
      </c>
      <c r="B221" s="1776" t="s">
        <v>16</v>
      </c>
      <c r="C221" s="1776" t="s">
        <v>2931</v>
      </c>
      <c r="D221" s="1776" t="s">
        <v>2932</v>
      </c>
      <c r="E221" s="1776" t="s">
        <v>2933</v>
      </c>
      <c r="F221" s="1776" t="s">
        <v>654</v>
      </c>
      <c r="G221" s="1776" t="s">
        <v>28</v>
      </c>
      <c r="H221" s="1776" t="s">
        <v>28</v>
      </c>
      <c r="I221" s="1776" t="s">
        <v>932</v>
      </c>
    </row>
    <row r="222" spans="1:9" ht="11.25" customHeight="1">
      <c r="A222" s="1776" t="s">
        <v>2323</v>
      </c>
      <c r="B222" s="1776" t="s">
        <v>16</v>
      </c>
      <c r="C222" s="1776" t="s">
        <v>2934</v>
      </c>
      <c r="D222" s="1776" t="s">
        <v>2935</v>
      </c>
      <c r="E222" s="1776" t="s">
        <v>2936</v>
      </c>
      <c r="F222" s="1776" t="s">
        <v>2593</v>
      </c>
      <c r="G222" s="1776" t="s">
        <v>2937</v>
      </c>
      <c r="H222" s="1776" t="s">
        <v>28</v>
      </c>
      <c r="I222" s="1776" t="s">
        <v>932</v>
      </c>
    </row>
    <row r="223" spans="1:9" ht="11.25" customHeight="1">
      <c r="A223" s="1776" t="s">
        <v>2323</v>
      </c>
      <c r="B223" s="1776" t="s">
        <v>16</v>
      </c>
      <c r="C223" s="1776" t="s">
        <v>2437</v>
      </c>
      <c r="D223" s="1776" t="s">
        <v>2438</v>
      </c>
      <c r="E223" s="1776" t="s">
        <v>2439</v>
      </c>
      <c r="F223" s="1776" t="s">
        <v>2331</v>
      </c>
      <c r="G223" s="1776" t="s">
        <v>28</v>
      </c>
      <c r="H223" s="1776" t="s">
        <v>28</v>
      </c>
      <c r="I223" s="1776" t="s">
        <v>932</v>
      </c>
    </row>
    <row r="224" spans="1:9" ht="11.25" customHeight="1">
      <c r="A224" s="1776" t="s">
        <v>2323</v>
      </c>
      <c r="B224" s="1776" t="s">
        <v>16</v>
      </c>
      <c r="C224" s="1776" t="s">
        <v>2938</v>
      </c>
      <c r="D224" s="1776" t="s">
        <v>2939</v>
      </c>
      <c r="E224" s="1776" t="s">
        <v>2940</v>
      </c>
      <c r="F224" s="1776" t="s">
        <v>2941</v>
      </c>
      <c r="G224" s="1776" t="s">
        <v>28</v>
      </c>
      <c r="H224" s="1776" t="s">
        <v>28</v>
      </c>
      <c r="I224" s="1776" t="s">
        <v>932</v>
      </c>
    </row>
    <row r="225" spans="1:9" ht="11.25" customHeight="1">
      <c r="A225" s="1776" t="s">
        <v>2323</v>
      </c>
      <c r="B225" s="1776" t="s">
        <v>16</v>
      </c>
      <c r="C225" s="1776" t="s">
        <v>2942</v>
      </c>
      <c r="D225" s="1776" t="s">
        <v>2943</v>
      </c>
      <c r="E225" s="1776" t="s">
        <v>2944</v>
      </c>
      <c r="F225" s="1776" t="s">
        <v>2436</v>
      </c>
      <c r="G225" s="1776" t="s">
        <v>2751</v>
      </c>
      <c r="H225" s="1776" t="s">
        <v>28</v>
      </c>
      <c r="I225" s="1776" t="s">
        <v>932</v>
      </c>
    </row>
    <row r="226" spans="1:9" ht="11.25" customHeight="1">
      <c r="A226" s="1776" t="s">
        <v>2323</v>
      </c>
      <c r="B226" s="1776" t="s">
        <v>16</v>
      </c>
      <c r="C226" s="1776" t="s">
        <v>2945</v>
      </c>
      <c r="D226" s="1776" t="s">
        <v>2946</v>
      </c>
      <c r="E226" s="1776" t="s">
        <v>2947</v>
      </c>
      <c r="F226" s="1776" t="s">
        <v>2948</v>
      </c>
      <c r="G226" s="1776" t="s">
        <v>28</v>
      </c>
      <c r="H226" s="1776" t="s">
        <v>28</v>
      </c>
      <c r="I226" s="1776" t="s">
        <v>932</v>
      </c>
    </row>
    <row r="227" spans="1:9" ht="11.25" customHeight="1">
      <c r="A227" s="1776" t="s">
        <v>2323</v>
      </c>
      <c r="B227" s="1776" t="s">
        <v>16</v>
      </c>
      <c r="C227" s="1776" t="s">
        <v>2452</v>
      </c>
      <c r="D227" s="1776" t="s">
        <v>2453</v>
      </c>
      <c r="E227" s="1776" t="s">
        <v>2454</v>
      </c>
      <c r="F227" s="1776" t="s">
        <v>2455</v>
      </c>
      <c r="G227" s="1776" t="s">
        <v>28</v>
      </c>
      <c r="H227" s="1776" t="s">
        <v>28</v>
      </c>
      <c r="I227" s="1776" t="s">
        <v>932</v>
      </c>
    </row>
    <row r="228" spans="1:9" ht="11.25" customHeight="1">
      <c r="A228" s="1776" t="s">
        <v>2323</v>
      </c>
      <c r="B228" s="1776" t="s">
        <v>16</v>
      </c>
      <c r="C228" s="1776" t="s">
        <v>2456</v>
      </c>
      <c r="D228" s="1776" t="s">
        <v>2457</v>
      </c>
      <c r="E228" s="1776" t="s">
        <v>2458</v>
      </c>
      <c r="F228" s="1776" t="s">
        <v>2459</v>
      </c>
      <c r="G228" s="1776" t="s">
        <v>28</v>
      </c>
      <c r="H228" s="1776" t="s">
        <v>28</v>
      </c>
      <c r="I228" s="1776" t="s">
        <v>932</v>
      </c>
    </row>
    <row r="229" spans="1:9" ht="11.25" customHeight="1">
      <c r="A229" s="1776" t="s">
        <v>2323</v>
      </c>
      <c r="B229" s="1776" t="s">
        <v>16</v>
      </c>
      <c r="C229" s="1776" t="s">
        <v>2949</v>
      </c>
      <c r="D229" s="1776" t="s">
        <v>2950</v>
      </c>
      <c r="E229" s="1776" t="s">
        <v>2951</v>
      </c>
      <c r="F229" s="1776" t="s">
        <v>2548</v>
      </c>
      <c r="G229" s="1776" t="s">
        <v>28</v>
      </c>
      <c r="H229" s="1776" t="s">
        <v>28</v>
      </c>
      <c r="I229" s="1776" t="s">
        <v>932</v>
      </c>
    </row>
    <row r="230" spans="1:9" ht="11.25" customHeight="1">
      <c r="A230" s="1776" t="s">
        <v>2323</v>
      </c>
      <c r="B230" s="1776" t="s">
        <v>16</v>
      </c>
      <c r="C230" s="1776" t="s">
        <v>2460</v>
      </c>
      <c r="D230" s="1776" t="s">
        <v>2461</v>
      </c>
      <c r="E230" s="1776" t="s">
        <v>2462</v>
      </c>
      <c r="F230" s="1776" t="s">
        <v>2463</v>
      </c>
      <c r="G230" s="1776" t="s">
        <v>28</v>
      </c>
      <c r="H230" s="1776" t="s">
        <v>28</v>
      </c>
      <c r="I230" s="1776" t="s">
        <v>932</v>
      </c>
    </row>
    <row r="231" spans="1:9" ht="11.25" customHeight="1">
      <c r="A231" s="1776" t="s">
        <v>2323</v>
      </c>
      <c r="B231" s="1776" t="s">
        <v>16</v>
      </c>
      <c r="C231" s="1776" t="s">
        <v>2952</v>
      </c>
      <c r="D231" s="1776" t="s">
        <v>2953</v>
      </c>
      <c r="E231" s="1776" t="s">
        <v>2954</v>
      </c>
      <c r="F231" s="1776" t="s">
        <v>2515</v>
      </c>
      <c r="G231" s="1776" t="s">
        <v>2955</v>
      </c>
      <c r="H231" s="1776" t="s">
        <v>28</v>
      </c>
      <c r="I231" s="1776" t="s">
        <v>932</v>
      </c>
    </row>
    <row r="232" spans="1:9" ht="11.25" customHeight="1">
      <c r="A232" s="1776" t="s">
        <v>2323</v>
      </c>
      <c r="B232" s="1776" t="s">
        <v>16</v>
      </c>
      <c r="C232" s="1776" t="s">
        <v>2956</v>
      </c>
      <c r="D232" s="1776" t="s">
        <v>2957</v>
      </c>
      <c r="E232" s="1776" t="s">
        <v>2958</v>
      </c>
      <c r="F232" s="1776" t="s">
        <v>2750</v>
      </c>
      <c r="G232" s="1776" t="s">
        <v>2959</v>
      </c>
      <c r="H232" s="1776" t="s">
        <v>28</v>
      </c>
      <c r="I232" s="1776" t="s">
        <v>932</v>
      </c>
    </row>
    <row r="233" spans="1:9" ht="11.25" customHeight="1">
      <c r="A233" s="1776" t="s">
        <v>2323</v>
      </c>
      <c r="B233" s="1776" t="s">
        <v>16</v>
      </c>
      <c r="C233" s="1776" t="s">
        <v>2960</v>
      </c>
      <c r="D233" s="1776" t="s">
        <v>2957</v>
      </c>
      <c r="E233" s="1776" t="s">
        <v>2961</v>
      </c>
      <c r="F233" s="1776" t="s">
        <v>2585</v>
      </c>
      <c r="G233" s="1776" t="s">
        <v>28</v>
      </c>
      <c r="H233" s="1776" t="s">
        <v>28</v>
      </c>
      <c r="I233" s="1776" t="s">
        <v>932</v>
      </c>
    </row>
    <row r="234" spans="1:9" ht="11.25" customHeight="1">
      <c r="A234" s="1776" t="s">
        <v>2323</v>
      </c>
      <c r="B234" s="1776" t="s">
        <v>16</v>
      </c>
      <c r="C234" s="1776" t="s">
        <v>2962</v>
      </c>
      <c r="D234" s="1776" t="s">
        <v>2957</v>
      </c>
      <c r="E234" s="1776" t="s">
        <v>2963</v>
      </c>
      <c r="F234" s="1776" t="s">
        <v>2964</v>
      </c>
      <c r="G234" s="1776" t="s">
        <v>28</v>
      </c>
      <c r="H234" s="1776" t="s">
        <v>28</v>
      </c>
      <c r="I234" s="1776" t="s">
        <v>932</v>
      </c>
    </row>
    <row r="235" spans="1:9" ht="11.25" customHeight="1">
      <c r="A235" s="1776" t="s">
        <v>2323</v>
      </c>
      <c r="B235" s="1776" t="s">
        <v>16</v>
      </c>
      <c r="C235" s="1776" t="s">
        <v>2965</v>
      </c>
      <c r="D235" s="1776" t="s">
        <v>2966</v>
      </c>
      <c r="E235" s="1776" t="s">
        <v>2967</v>
      </c>
      <c r="F235" s="1776" t="s">
        <v>2436</v>
      </c>
      <c r="G235" s="1776" t="s">
        <v>2968</v>
      </c>
      <c r="H235" s="1776" t="s">
        <v>28</v>
      </c>
      <c r="I235" s="1776" t="s">
        <v>932</v>
      </c>
    </row>
    <row r="236" spans="1:9" ht="11.25" customHeight="1">
      <c r="A236" s="1776" t="s">
        <v>2323</v>
      </c>
      <c r="B236" s="1776" t="s">
        <v>16</v>
      </c>
      <c r="C236" s="1776" t="s">
        <v>2969</v>
      </c>
      <c r="D236" s="1776" t="s">
        <v>2970</v>
      </c>
      <c r="E236" s="1776" t="s">
        <v>2971</v>
      </c>
      <c r="F236" s="1776" t="s">
        <v>2548</v>
      </c>
      <c r="G236" s="1776" t="s">
        <v>28</v>
      </c>
      <c r="H236" s="1776" t="s">
        <v>28</v>
      </c>
      <c r="I236" s="1776" t="s">
        <v>932</v>
      </c>
    </row>
    <row r="237" spans="1:9" ht="11.25" customHeight="1">
      <c r="A237" s="1776" t="s">
        <v>2323</v>
      </c>
      <c r="B237" s="1776" t="s">
        <v>16</v>
      </c>
      <c r="C237" s="1776" t="s">
        <v>2972</v>
      </c>
      <c r="D237" s="1776" t="s">
        <v>2973</v>
      </c>
      <c r="E237" s="1776" t="s">
        <v>2974</v>
      </c>
      <c r="F237" s="1776" t="s">
        <v>2975</v>
      </c>
      <c r="G237" s="1776" t="s">
        <v>2976</v>
      </c>
      <c r="H237" s="1776" t="s">
        <v>28</v>
      </c>
      <c r="I237" s="1776" t="s">
        <v>932</v>
      </c>
    </row>
    <row r="238" spans="1:9" ht="11.25" customHeight="1">
      <c r="A238" s="1776" t="s">
        <v>2323</v>
      </c>
      <c r="B238" s="1776" t="s">
        <v>16</v>
      </c>
      <c r="C238" s="1776" t="s">
        <v>2977</v>
      </c>
      <c r="D238" s="1776" t="s">
        <v>2978</v>
      </c>
      <c r="E238" s="1776" t="s">
        <v>2979</v>
      </c>
      <c r="F238" s="1776" t="s">
        <v>2745</v>
      </c>
      <c r="G238" s="1776" t="s">
        <v>28</v>
      </c>
      <c r="H238" s="1776" t="s">
        <v>28</v>
      </c>
      <c r="I238" s="1776" t="s">
        <v>932</v>
      </c>
    </row>
    <row r="239" spans="1:9" ht="11.25" customHeight="1">
      <c r="A239" s="1776" t="s">
        <v>2323</v>
      </c>
      <c r="B239" s="1776" t="s">
        <v>16</v>
      </c>
      <c r="C239" s="1776" t="s">
        <v>2486</v>
      </c>
      <c r="D239" s="1776" t="s">
        <v>2487</v>
      </c>
      <c r="E239" s="1776" t="s">
        <v>2488</v>
      </c>
      <c r="F239" s="1776" t="s">
        <v>2443</v>
      </c>
      <c r="G239" s="1776" t="s">
        <v>2489</v>
      </c>
      <c r="H239" s="1776" t="s">
        <v>28</v>
      </c>
      <c r="I239" s="1776" t="s">
        <v>932</v>
      </c>
    </row>
    <row r="240" spans="1:9" ht="11.25" customHeight="1">
      <c r="A240" s="1776" t="s">
        <v>2323</v>
      </c>
      <c r="B240" s="1776" t="s">
        <v>16</v>
      </c>
      <c r="C240" s="1776" t="s">
        <v>2980</v>
      </c>
      <c r="D240" s="1776" t="s">
        <v>2981</v>
      </c>
      <c r="E240" s="1776" t="s">
        <v>2982</v>
      </c>
      <c r="F240" s="1776" t="s">
        <v>2532</v>
      </c>
      <c r="G240" s="1776" t="s">
        <v>2983</v>
      </c>
      <c r="H240" s="1776" t="s">
        <v>28</v>
      </c>
      <c r="I240" s="1776" t="s">
        <v>932</v>
      </c>
    </row>
    <row r="241" spans="1:9" ht="11.25" customHeight="1">
      <c r="A241" s="1776" t="s">
        <v>2323</v>
      </c>
      <c r="B241" s="1776" t="s">
        <v>16</v>
      </c>
      <c r="C241" s="1776" t="s">
        <v>2984</v>
      </c>
      <c r="D241" s="1776" t="s">
        <v>2985</v>
      </c>
      <c r="E241" s="1776" t="s">
        <v>2986</v>
      </c>
      <c r="F241" s="1776" t="s">
        <v>2556</v>
      </c>
      <c r="G241" s="1776" t="s">
        <v>28</v>
      </c>
      <c r="H241" s="1776" t="s">
        <v>28</v>
      </c>
      <c r="I241" s="1776" t="s">
        <v>932</v>
      </c>
    </row>
    <row r="242" spans="1:9" ht="11.25" customHeight="1">
      <c r="A242" s="1776" t="s">
        <v>2323</v>
      </c>
      <c r="B242" s="1776" t="s">
        <v>16</v>
      </c>
      <c r="C242" s="1776" t="s">
        <v>2987</v>
      </c>
      <c r="D242" s="1776" t="s">
        <v>2988</v>
      </c>
      <c r="E242" s="1776" t="s">
        <v>2989</v>
      </c>
      <c r="F242" s="1776" t="s">
        <v>2678</v>
      </c>
      <c r="G242" s="1776" t="s">
        <v>2990</v>
      </c>
      <c r="H242" s="1776" t="s">
        <v>28</v>
      </c>
      <c r="I242" s="1776" t="s">
        <v>932</v>
      </c>
    </row>
    <row r="243" spans="1:9" ht="11.25" customHeight="1">
      <c r="A243" s="1776" t="s">
        <v>2323</v>
      </c>
      <c r="B243" s="1776" t="s">
        <v>16</v>
      </c>
      <c r="C243" s="1776" t="s">
        <v>2991</v>
      </c>
      <c r="D243" s="1776" t="s">
        <v>2992</v>
      </c>
      <c r="E243" s="1776" t="s">
        <v>2993</v>
      </c>
      <c r="F243" s="1776" t="s">
        <v>2804</v>
      </c>
      <c r="G243" s="1776" t="s">
        <v>2994</v>
      </c>
      <c r="H243" s="1776" t="s">
        <v>28</v>
      </c>
      <c r="I243" s="1776" t="s">
        <v>932</v>
      </c>
    </row>
    <row r="244" spans="1:9" ht="11.25" customHeight="1">
      <c r="A244" s="1776" t="s">
        <v>2323</v>
      </c>
      <c r="B244" s="1776" t="s">
        <v>16</v>
      </c>
      <c r="C244" s="1776" t="s">
        <v>2523</v>
      </c>
      <c r="D244" s="1776" t="s">
        <v>2524</v>
      </c>
      <c r="E244" s="1776" t="s">
        <v>2525</v>
      </c>
      <c r="F244" s="1776" t="s">
        <v>2382</v>
      </c>
      <c r="G244" s="1776" t="s">
        <v>28</v>
      </c>
      <c r="H244" s="1776" t="s">
        <v>28</v>
      </c>
      <c r="I244" s="1776" t="s">
        <v>932</v>
      </c>
    </row>
    <row r="245" spans="1:9" ht="11.25" customHeight="1">
      <c r="A245" s="1776" t="s">
        <v>2323</v>
      </c>
      <c r="B245" s="1776" t="s">
        <v>16</v>
      </c>
      <c r="C245" s="1776" t="s">
        <v>2995</v>
      </c>
      <c r="D245" s="1776" t="s">
        <v>2996</v>
      </c>
      <c r="E245" s="1776" t="s">
        <v>2997</v>
      </c>
      <c r="F245" s="1776" t="s">
        <v>2556</v>
      </c>
      <c r="G245" s="1776" t="s">
        <v>28</v>
      </c>
      <c r="H245" s="1776" t="s">
        <v>28</v>
      </c>
      <c r="I245" s="1776" t="s">
        <v>932</v>
      </c>
    </row>
    <row r="246" spans="1:9" ht="11.25" customHeight="1">
      <c r="A246" s="1776" t="s">
        <v>2323</v>
      </c>
      <c r="B246" s="1776" t="s">
        <v>16</v>
      </c>
      <c r="C246" s="1776" t="s">
        <v>2533</v>
      </c>
      <c r="D246" s="1776" t="s">
        <v>2534</v>
      </c>
      <c r="E246" s="1776" t="s">
        <v>2535</v>
      </c>
      <c r="F246" s="1776" t="s">
        <v>2536</v>
      </c>
      <c r="G246" s="1776" t="s">
        <v>28</v>
      </c>
      <c r="H246" s="1776" t="s">
        <v>28</v>
      </c>
      <c r="I246" s="1776" t="s">
        <v>932</v>
      </c>
    </row>
    <row r="247" spans="1:9" ht="11.25" customHeight="1">
      <c r="A247" s="1776" t="s">
        <v>2323</v>
      </c>
      <c r="B247" s="1776" t="s">
        <v>16</v>
      </c>
      <c r="C247" s="1776" t="s">
        <v>2998</v>
      </c>
      <c r="D247" s="1776" t="s">
        <v>2999</v>
      </c>
      <c r="E247" s="1776" t="s">
        <v>3000</v>
      </c>
      <c r="F247" s="1776" t="s">
        <v>2447</v>
      </c>
      <c r="G247" s="1776" t="s">
        <v>28</v>
      </c>
      <c r="H247" s="1776" t="s">
        <v>28</v>
      </c>
      <c r="I247" s="1776" t="s">
        <v>932</v>
      </c>
    </row>
    <row r="248" spans="1:9" ht="11.25" customHeight="1">
      <c r="A248" s="1776" t="s">
        <v>2323</v>
      </c>
      <c r="B248" s="1776" t="s">
        <v>16</v>
      </c>
      <c r="C248" s="1776" t="s">
        <v>3001</v>
      </c>
      <c r="D248" s="1776" t="s">
        <v>3002</v>
      </c>
      <c r="E248" s="1776" t="s">
        <v>3003</v>
      </c>
      <c r="F248" s="1776" t="s">
        <v>2872</v>
      </c>
      <c r="G248" s="1776" t="s">
        <v>3004</v>
      </c>
      <c r="H248" s="1776" t="s">
        <v>28</v>
      </c>
      <c r="I248" s="1776" t="s">
        <v>932</v>
      </c>
    </row>
    <row r="249" spans="1:9" ht="11.25" customHeight="1">
      <c r="A249" s="1776" t="s">
        <v>2323</v>
      </c>
      <c r="B249" s="1776" t="s">
        <v>16</v>
      </c>
      <c r="C249" s="1776" t="s">
        <v>3005</v>
      </c>
      <c r="D249" s="1776" t="s">
        <v>3006</v>
      </c>
      <c r="E249" s="1776" t="s">
        <v>3007</v>
      </c>
      <c r="F249" s="1776" t="s">
        <v>2504</v>
      </c>
      <c r="G249" s="1776" t="s">
        <v>28</v>
      </c>
      <c r="H249" s="1776" t="s">
        <v>28</v>
      </c>
      <c r="I249" s="1776" t="s">
        <v>932</v>
      </c>
    </row>
    <row r="250" spans="1:9" ht="11.25" customHeight="1">
      <c r="A250" s="1776" t="s">
        <v>2323</v>
      </c>
      <c r="B250" s="1776" t="s">
        <v>16</v>
      </c>
      <c r="C250" s="1776" t="s">
        <v>3008</v>
      </c>
      <c r="D250" s="1776" t="s">
        <v>3009</v>
      </c>
      <c r="E250" s="1776" t="s">
        <v>3010</v>
      </c>
      <c r="F250" s="1776" t="s">
        <v>2544</v>
      </c>
      <c r="G250" s="1776" t="s">
        <v>28</v>
      </c>
      <c r="H250" s="1776" t="s">
        <v>28</v>
      </c>
      <c r="I250" s="1776" t="s">
        <v>932</v>
      </c>
    </row>
    <row r="251" spans="1:9" ht="11.25" customHeight="1">
      <c r="A251" s="1776" t="s">
        <v>2323</v>
      </c>
      <c r="B251" s="1776" t="s">
        <v>16</v>
      </c>
      <c r="C251" s="1776" t="s">
        <v>3011</v>
      </c>
      <c r="D251" s="1776" t="s">
        <v>3012</v>
      </c>
      <c r="E251" s="1776" t="s">
        <v>3013</v>
      </c>
      <c r="F251" s="1776" t="s">
        <v>3014</v>
      </c>
      <c r="G251" s="1776" t="s">
        <v>3015</v>
      </c>
      <c r="H251" s="1776" t="s">
        <v>28</v>
      </c>
      <c r="I251" s="1776" t="s">
        <v>932</v>
      </c>
    </row>
    <row r="252" spans="1:9" ht="11.25" customHeight="1">
      <c r="A252" s="1776" t="s">
        <v>2323</v>
      </c>
      <c r="B252" s="1776" t="s">
        <v>16</v>
      </c>
      <c r="C252" s="1776" t="s">
        <v>3016</v>
      </c>
      <c r="D252" s="1776" t="s">
        <v>3017</v>
      </c>
      <c r="E252" s="1776" t="s">
        <v>3018</v>
      </c>
      <c r="F252" s="1776" t="s">
        <v>3019</v>
      </c>
      <c r="G252" s="1776" t="s">
        <v>28</v>
      </c>
      <c r="H252" s="1776" t="s">
        <v>28</v>
      </c>
      <c r="I252" s="1776" t="s">
        <v>932</v>
      </c>
    </row>
    <row r="253" spans="1:9" ht="11.25" customHeight="1">
      <c r="A253" s="1776" t="s">
        <v>2323</v>
      </c>
      <c r="B253" s="1776" t="s">
        <v>16</v>
      </c>
      <c r="C253" s="1776" t="s">
        <v>3020</v>
      </c>
      <c r="D253" s="1776" t="s">
        <v>3021</v>
      </c>
      <c r="E253" s="1776" t="s">
        <v>3022</v>
      </c>
      <c r="F253" s="1776" t="s">
        <v>2593</v>
      </c>
      <c r="G253" s="1776" t="s">
        <v>3023</v>
      </c>
      <c r="H253" s="1776" t="s">
        <v>28</v>
      </c>
      <c r="I253" s="1776" t="s">
        <v>932</v>
      </c>
    </row>
    <row r="254" spans="1:9" ht="11.25" customHeight="1">
      <c r="A254" s="1776" t="s">
        <v>2323</v>
      </c>
      <c r="B254" s="1776" t="s">
        <v>16</v>
      </c>
      <c r="C254" s="1776" t="s">
        <v>2537</v>
      </c>
      <c r="D254" s="1776" t="s">
        <v>2538</v>
      </c>
      <c r="E254" s="1776" t="s">
        <v>2539</v>
      </c>
      <c r="F254" s="1776" t="s">
        <v>2540</v>
      </c>
      <c r="G254" s="1776" t="s">
        <v>28</v>
      </c>
      <c r="H254" s="1776" t="s">
        <v>28</v>
      </c>
      <c r="I254" s="1776" t="s">
        <v>932</v>
      </c>
    </row>
    <row r="255" spans="1:9" ht="11.25" customHeight="1">
      <c r="A255" s="1776" t="s">
        <v>2323</v>
      </c>
      <c r="B255" s="1776" t="s">
        <v>16</v>
      </c>
      <c r="C255" s="1776" t="s">
        <v>2549</v>
      </c>
      <c r="D255" s="1776" t="s">
        <v>2550</v>
      </c>
      <c r="E255" s="1776" t="s">
        <v>2551</v>
      </c>
      <c r="F255" s="1776" t="s">
        <v>2552</v>
      </c>
      <c r="G255" s="1776" t="s">
        <v>28</v>
      </c>
      <c r="H255" s="1776" t="s">
        <v>28</v>
      </c>
      <c r="I255" s="1776" t="s">
        <v>932</v>
      </c>
    </row>
    <row r="256" spans="1:9" ht="11.25" customHeight="1">
      <c r="A256" s="1776" t="s">
        <v>2323</v>
      </c>
      <c r="B256" s="1776" t="s">
        <v>16</v>
      </c>
      <c r="C256" s="1776" t="s">
        <v>3024</v>
      </c>
      <c r="D256" s="1776" t="s">
        <v>3025</v>
      </c>
      <c r="E256" s="1776" t="s">
        <v>3026</v>
      </c>
      <c r="F256" s="1776" t="s">
        <v>2659</v>
      </c>
      <c r="G256" s="1776" t="s">
        <v>28</v>
      </c>
      <c r="H256" s="1776" t="s">
        <v>28</v>
      </c>
      <c r="I256" s="1776" t="s">
        <v>932</v>
      </c>
    </row>
    <row r="257" spans="1:9" ht="11.25" customHeight="1">
      <c r="A257" s="1776" t="s">
        <v>2323</v>
      </c>
      <c r="B257" s="1776" t="s">
        <v>16</v>
      </c>
      <c r="C257" s="1776" t="s">
        <v>3027</v>
      </c>
      <c r="D257" s="1776" t="s">
        <v>3028</v>
      </c>
      <c r="E257" s="1776" t="s">
        <v>3029</v>
      </c>
      <c r="F257" s="1776" t="s">
        <v>3030</v>
      </c>
      <c r="G257" s="1776" t="s">
        <v>28</v>
      </c>
      <c r="H257" s="1776" t="s">
        <v>28</v>
      </c>
      <c r="I257" s="1776" t="s">
        <v>932</v>
      </c>
    </row>
    <row r="258" spans="1:9" ht="11.25" customHeight="1">
      <c r="A258" s="1776" t="s">
        <v>2323</v>
      </c>
      <c r="B258" s="1776" t="s">
        <v>16</v>
      </c>
      <c r="C258" s="1776" t="s">
        <v>3031</v>
      </c>
      <c r="D258" s="1776" t="s">
        <v>3032</v>
      </c>
      <c r="E258" s="1776" t="s">
        <v>3033</v>
      </c>
      <c r="F258" s="1776" t="s">
        <v>2447</v>
      </c>
      <c r="G258" s="1776" t="s">
        <v>28</v>
      </c>
      <c r="H258" s="1776" t="s">
        <v>28</v>
      </c>
      <c r="I258" s="1776" t="s">
        <v>932</v>
      </c>
    </row>
    <row r="259" spans="1:9" ht="11.25" customHeight="1">
      <c r="A259" s="1776" t="s">
        <v>2323</v>
      </c>
      <c r="B259" s="1776" t="s">
        <v>16</v>
      </c>
      <c r="C259" s="1776" t="s">
        <v>3034</v>
      </c>
      <c r="D259" s="1776" t="s">
        <v>3035</v>
      </c>
      <c r="E259" s="1776" t="s">
        <v>3036</v>
      </c>
      <c r="F259" s="1776" t="s">
        <v>2519</v>
      </c>
      <c r="G259" s="1776" t="s">
        <v>28</v>
      </c>
      <c r="H259" s="1776" t="s">
        <v>28</v>
      </c>
      <c r="I259" s="1776" t="s">
        <v>932</v>
      </c>
    </row>
    <row r="260" spans="1:9" ht="11.25" customHeight="1">
      <c r="A260" s="1776" t="s">
        <v>2323</v>
      </c>
      <c r="B260" s="1776" t="s">
        <v>16</v>
      </c>
      <c r="C260" s="1776" t="s">
        <v>3037</v>
      </c>
      <c r="D260" s="1776" t="s">
        <v>3038</v>
      </c>
      <c r="E260" s="1776" t="s">
        <v>3039</v>
      </c>
      <c r="F260" s="1776" t="s">
        <v>2365</v>
      </c>
      <c r="G260" s="1776" t="s">
        <v>28</v>
      </c>
      <c r="H260" s="1776" t="s">
        <v>28</v>
      </c>
      <c r="I260" s="1776" t="s">
        <v>932</v>
      </c>
    </row>
    <row r="261" spans="1:9" ht="11.25" customHeight="1">
      <c r="A261" s="1776" t="s">
        <v>2323</v>
      </c>
      <c r="B261" s="1776" t="s">
        <v>16</v>
      </c>
      <c r="C261" s="1776" t="s">
        <v>3040</v>
      </c>
      <c r="D261" s="1776" t="s">
        <v>3041</v>
      </c>
      <c r="E261" s="1776" t="s">
        <v>3042</v>
      </c>
      <c r="F261" s="1776" t="s">
        <v>2570</v>
      </c>
      <c r="G261" s="1776" t="s">
        <v>28</v>
      </c>
      <c r="H261" s="1776" t="s">
        <v>28</v>
      </c>
      <c r="I261" s="1776" t="s">
        <v>932</v>
      </c>
    </row>
    <row r="262" spans="1:9" ht="11.25" customHeight="1">
      <c r="A262" s="1776" t="s">
        <v>2323</v>
      </c>
      <c r="B262" s="1776" t="s">
        <v>16</v>
      </c>
      <c r="C262" s="1776" t="s">
        <v>3043</v>
      </c>
      <c r="D262" s="1776" t="s">
        <v>3044</v>
      </c>
      <c r="E262" s="1776" t="s">
        <v>3045</v>
      </c>
      <c r="F262" s="1776" t="s">
        <v>2570</v>
      </c>
      <c r="G262" s="1776" t="s">
        <v>28</v>
      </c>
      <c r="H262" s="1776" t="s">
        <v>28</v>
      </c>
      <c r="I262" s="1776" t="s">
        <v>932</v>
      </c>
    </row>
    <row r="263" spans="1:9" ht="11.25" customHeight="1">
      <c r="A263" s="1776" t="s">
        <v>2323</v>
      </c>
      <c r="B263" s="1776" t="s">
        <v>16</v>
      </c>
      <c r="C263" s="1776" t="s">
        <v>3046</v>
      </c>
      <c r="D263" s="1776" t="s">
        <v>3047</v>
      </c>
      <c r="E263" s="1776" t="s">
        <v>3048</v>
      </c>
      <c r="F263" s="1776" t="s">
        <v>2459</v>
      </c>
      <c r="G263" s="1776" t="s">
        <v>28</v>
      </c>
      <c r="H263" s="1776" t="s">
        <v>28</v>
      </c>
      <c r="I263" s="1776" t="s">
        <v>932</v>
      </c>
    </row>
    <row r="264" spans="1:9" ht="11.25" customHeight="1">
      <c r="A264" s="1776" t="s">
        <v>2323</v>
      </c>
      <c r="B264" s="1776" t="s">
        <v>16</v>
      </c>
      <c r="C264" s="1776" t="s">
        <v>2604</v>
      </c>
      <c r="D264" s="1776" t="s">
        <v>2605</v>
      </c>
      <c r="E264" s="1776" t="s">
        <v>2606</v>
      </c>
      <c r="F264" s="1776" t="s">
        <v>2519</v>
      </c>
      <c r="G264" s="1776" t="s">
        <v>28</v>
      </c>
      <c r="H264" s="1776" t="s">
        <v>28</v>
      </c>
      <c r="I264" s="1776" t="s">
        <v>932</v>
      </c>
    </row>
    <row r="265" spans="1:9" ht="11.25" customHeight="1">
      <c r="A265" s="1776" t="s">
        <v>2323</v>
      </c>
      <c r="B265" s="1776" t="s">
        <v>16</v>
      </c>
      <c r="C265" s="1776" t="s">
        <v>3049</v>
      </c>
      <c r="D265" s="1776" t="s">
        <v>3050</v>
      </c>
      <c r="E265" s="1776" t="s">
        <v>3051</v>
      </c>
      <c r="F265" s="1776" t="s">
        <v>2443</v>
      </c>
      <c r="G265" s="1776" t="s">
        <v>28</v>
      </c>
      <c r="H265" s="1776" t="s">
        <v>28</v>
      </c>
      <c r="I265" s="1776" t="s">
        <v>932</v>
      </c>
    </row>
    <row r="266" spans="1:9" ht="11.25" customHeight="1">
      <c r="A266" s="1776" t="s">
        <v>2323</v>
      </c>
      <c r="B266" s="1776" t="s">
        <v>16</v>
      </c>
      <c r="C266" s="1776" t="s">
        <v>3052</v>
      </c>
      <c r="D266" s="1776" t="s">
        <v>3053</v>
      </c>
      <c r="E266" s="1776" t="s">
        <v>3054</v>
      </c>
      <c r="F266" s="1776" t="s">
        <v>2365</v>
      </c>
      <c r="G266" s="1776" t="s">
        <v>3055</v>
      </c>
      <c r="H266" s="1776" t="s">
        <v>28</v>
      </c>
      <c r="I266" s="1776" t="s">
        <v>932</v>
      </c>
    </row>
    <row r="267" spans="1:9" ht="11.25" customHeight="1">
      <c r="A267" s="1776" t="s">
        <v>2323</v>
      </c>
      <c r="B267" s="1776" t="s">
        <v>16</v>
      </c>
      <c r="C267" s="1776" t="s">
        <v>3056</v>
      </c>
      <c r="D267" s="1776" t="s">
        <v>3057</v>
      </c>
      <c r="E267" s="1776" t="s">
        <v>3058</v>
      </c>
      <c r="F267" s="1776" t="s">
        <v>2872</v>
      </c>
      <c r="G267" s="1776" t="s">
        <v>28</v>
      </c>
      <c r="H267" s="1776" t="s">
        <v>28</v>
      </c>
      <c r="I267" s="1776" t="s">
        <v>932</v>
      </c>
    </row>
    <row r="268" spans="1:9" ht="11.25" customHeight="1">
      <c r="A268" s="1776" t="s">
        <v>2323</v>
      </c>
      <c r="B268" s="1776" t="s">
        <v>16</v>
      </c>
      <c r="C268" s="1776" t="s">
        <v>3059</v>
      </c>
      <c r="D268" s="1776" t="s">
        <v>3060</v>
      </c>
      <c r="E268" s="1776" t="s">
        <v>3061</v>
      </c>
      <c r="F268" s="1776" t="s">
        <v>2773</v>
      </c>
      <c r="G268" s="1776" t="s">
        <v>28</v>
      </c>
      <c r="H268" s="1776" t="s">
        <v>28</v>
      </c>
      <c r="I268" s="1776" t="s">
        <v>932</v>
      </c>
    </row>
    <row r="269" spans="1:9" ht="11.25" customHeight="1">
      <c r="A269" s="1776" t="s">
        <v>2323</v>
      </c>
      <c r="B269" s="1776" t="s">
        <v>16</v>
      </c>
      <c r="C269" s="1776" t="s">
        <v>3062</v>
      </c>
      <c r="D269" s="1776" t="s">
        <v>3063</v>
      </c>
      <c r="E269" s="1776" t="s">
        <v>3064</v>
      </c>
      <c r="F269" s="1776" t="s">
        <v>2459</v>
      </c>
      <c r="G269" s="1776" t="s">
        <v>3065</v>
      </c>
      <c r="H269" s="1776" t="s">
        <v>28</v>
      </c>
      <c r="I269" s="1776" t="s">
        <v>932</v>
      </c>
    </row>
    <row r="270" spans="1:9" ht="11.25" customHeight="1">
      <c r="A270" s="1776" t="s">
        <v>2323</v>
      </c>
      <c r="B270" s="1776" t="s">
        <v>16</v>
      </c>
      <c r="C270" s="1776" t="s">
        <v>3066</v>
      </c>
      <c r="D270" s="1776" t="s">
        <v>3067</v>
      </c>
      <c r="E270" s="1776" t="s">
        <v>3068</v>
      </c>
      <c r="F270" s="1776" t="s">
        <v>2455</v>
      </c>
      <c r="G270" s="1776" t="s">
        <v>28</v>
      </c>
      <c r="H270" s="1776" t="s">
        <v>28</v>
      </c>
      <c r="I270" s="1776" t="s">
        <v>932</v>
      </c>
    </row>
    <row r="271" spans="1:9" ht="11.25" customHeight="1">
      <c r="A271" s="1776" t="s">
        <v>2323</v>
      </c>
      <c r="B271" s="1776" t="s">
        <v>16</v>
      </c>
      <c r="C271" s="1776" t="s">
        <v>3069</v>
      </c>
      <c r="D271" s="1776" t="s">
        <v>3070</v>
      </c>
      <c r="E271" s="1776" t="s">
        <v>3071</v>
      </c>
      <c r="F271" s="1776" t="s">
        <v>3072</v>
      </c>
      <c r="G271" s="1776" t="s">
        <v>28</v>
      </c>
      <c r="H271" s="1776" t="s">
        <v>28</v>
      </c>
      <c r="I271" s="1776" t="s">
        <v>932</v>
      </c>
    </row>
    <row r="272" spans="1:9" ht="11.25" customHeight="1">
      <c r="A272" s="1776" t="s">
        <v>2323</v>
      </c>
      <c r="B272" s="1776" t="s">
        <v>16</v>
      </c>
      <c r="C272" s="1776" t="s">
        <v>2636</v>
      </c>
      <c r="D272" s="1776" t="s">
        <v>2637</v>
      </c>
      <c r="E272" s="1776" t="s">
        <v>2638</v>
      </c>
      <c r="F272" s="1776" t="s">
        <v>2589</v>
      </c>
      <c r="G272" s="1776" t="s">
        <v>2639</v>
      </c>
      <c r="H272" s="1776" t="s">
        <v>28</v>
      </c>
      <c r="I272" s="1776" t="s">
        <v>932</v>
      </c>
    </row>
    <row r="273" spans="1:9" ht="11.25" customHeight="1">
      <c r="A273" s="1776" t="s">
        <v>2323</v>
      </c>
      <c r="B273" s="1776" t="s">
        <v>16</v>
      </c>
      <c r="C273" s="1776" t="s">
        <v>3073</v>
      </c>
      <c r="D273" s="1776" t="s">
        <v>3074</v>
      </c>
      <c r="E273" s="1776" t="s">
        <v>3075</v>
      </c>
      <c r="F273" s="1776" t="s">
        <v>3076</v>
      </c>
      <c r="G273" s="1776" t="s">
        <v>28</v>
      </c>
      <c r="H273" s="1776" t="s">
        <v>28</v>
      </c>
      <c r="I273" s="1776" t="s">
        <v>932</v>
      </c>
    </row>
    <row r="274" spans="1:9" ht="11.25" customHeight="1">
      <c r="A274" s="1776" t="s">
        <v>2323</v>
      </c>
      <c r="B274" s="1776" t="s">
        <v>16</v>
      </c>
      <c r="C274" s="1776" t="s">
        <v>3077</v>
      </c>
      <c r="D274" s="1776" t="s">
        <v>3078</v>
      </c>
      <c r="E274" s="1776" t="s">
        <v>3079</v>
      </c>
      <c r="F274" s="1776" t="s">
        <v>2589</v>
      </c>
      <c r="G274" s="1776" t="s">
        <v>3080</v>
      </c>
      <c r="H274" s="1776" t="s">
        <v>28</v>
      </c>
      <c r="I274" s="1776" t="s">
        <v>932</v>
      </c>
    </row>
    <row r="275" spans="1:9" ht="11.25" customHeight="1">
      <c r="A275" s="1776" t="s">
        <v>2323</v>
      </c>
      <c r="B275" s="1776" t="s">
        <v>16</v>
      </c>
      <c r="C275" s="1776" t="s">
        <v>3081</v>
      </c>
      <c r="D275" s="1776" t="s">
        <v>3082</v>
      </c>
      <c r="E275" s="1776" t="s">
        <v>3083</v>
      </c>
      <c r="F275" s="1776" t="s">
        <v>2597</v>
      </c>
      <c r="G275" s="1776" t="s">
        <v>3084</v>
      </c>
      <c r="H275" s="1776" t="s">
        <v>28</v>
      </c>
      <c r="I275" s="1776" t="s">
        <v>932</v>
      </c>
    </row>
    <row r="276" spans="1:9" ht="11.25" customHeight="1">
      <c r="A276" s="1776" t="s">
        <v>2323</v>
      </c>
      <c r="B276" s="1776" t="s">
        <v>16</v>
      </c>
      <c r="C276" s="1776" t="s">
        <v>2675</v>
      </c>
      <c r="D276" s="1776" t="s">
        <v>2676</v>
      </c>
      <c r="E276" s="1776" t="s">
        <v>2677</v>
      </c>
      <c r="F276" s="1776" t="s">
        <v>2678</v>
      </c>
      <c r="G276" s="1776" t="s">
        <v>28</v>
      </c>
      <c r="H276" s="1776" t="s">
        <v>28</v>
      </c>
      <c r="I276" s="1776" t="s">
        <v>932</v>
      </c>
    </row>
    <row r="277" spans="1:9" ht="11.25" customHeight="1">
      <c r="A277" s="1776" t="s">
        <v>2323</v>
      </c>
      <c r="B277" s="1776" t="s">
        <v>16</v>
      </c>
      <c r="C277" s="1776" t="s">
        <v>3085</v>
      </c>
      <c r="D277" s="1776" t="s">
        <v>3086</v>
      </c>
      <c r="E277" s="1776" t="s">
        <v>3087</v>
      </c>
      <c r="F277" s="1776" t="s">
        <v>2365</v>
      </c>
      <c r="G277" s="1776" t="s">
        <v>28</v>
      </c>
      <c r="H277" s="1776" t="s">
        <v>28</v>
      </c>
      <c r="I277" s="1776" t="s">
        <v>932</v>
      </c>
    </row>
    <row r="278" spans="1:9" ht="11.25" customHeight="1">
      <c r="A278" s="1776" t="s">
        <v>2323</v>
      </c>
      <c r="B278" s="1776" t="s">
        <v>16</v>
      </c>
      <c r="C278" s="1776" t="s">
        <v>3088</v>
      </c>
      <c r="D278" s="1776" t="s">
        <v>3089</v>
      </c>
      <c r="E278" s="1776" t="s">
        <v>3090</v>
      </c>
      <c r="F278" s="1776" t="s">
        <v>2443</v>
      </c>
      <c r="G278" s="1776" t="s">
        <v>3091</v>
      </c>
      <c r="H278" s="1776" t="s">
        <v>28</v>
      </c>
      <c r="I278" s="1776" t="s">
        <v>932</v>
      </c>
    </row>
    <row r="279" spans="1:9" ht="11.25" customHeight="1">
      <c r="A279" s="1776" t="s">
        <v>2323</v>
      </c>
      <c r="B279" s="1776" t="s">
        <v>16</v>
      </c>
      <c r="C279" s="1776" t="s">
        <v>3092</v>
      </c>
      <c r="D279" s="1776" t="s">
        <v>3093</v>
      </c>
      <c r="E279" s="1776" t="s">
        <v>3094</v>
      </c>
      <c r="F279" s="1776" t="s">
        <v>3095</v>
      </c>
      <c r="G279" s="1776" t="s">
        <v>28</v>
      </c>
      <c r="H279" s="1776" t="s">
        <v>28</v>
      </c>
      <c r="I279" s="1776" t="s">
        <v>932</v>
      </c>
    </row>
    <row r="280" spans="1:9" ht="11.25" customHeight="1">
      <c r="A280" s="1776" t="s">
        <v>2323</v>
      </c>
      <c r="B280" s="1776" t="s">
        <v>16</v>
      </c>
      <c r="C280" s="1776" t="s">
        <v>3096</v>
      </c>
      <c r="D280" s="1776" t="s">
        <v>3097</v>
      </c>
      <c r="E280" s="1776" t="s">
        <v>3098</v>
      </c>
      <c r="F280" s="1776" t="s">
        <v>2735</v>
      </c>
      <c r="G280" s="1776" t="s">
        <v>28</v>
      </c>
      <c r="H280" s="1776" t="s">
        <v>28</v>
      </c>
      <c r="I280" s="1776" t="s">
        <v>932</v>
      </c>
    </row>
    <row r="281" spans="1:9" ht="11.25" customHeight="1">
      <c r="A281" s="1776" t="s">
        <v>2323</v>
      </c>
      <c r="B281" s="1776" t="s">
        <v>16</v>
      </c>
      <c r="C281" s="1776" t="s">
        <v>3099</v>
      </c>
      <c r="D281" s="1776" t="s">
        <v>3100</v>
      </c>
      <c r="E281" s="1776" t="s">
        <v>3101</v>
      </c>
      <c r="F281" s="1776" t="s">
        <v>2773</v>
      </c>
      <c r="G281" s="1776" t="s">
        <v>28</v>
      </c>
      <c r="H281" s="1776" t="s">
        <v>28</v>
      </c>
      <c r="I281" s="1776" t="s">
        <v>932</v>
      </c>
    </row>
    <row r="282" spans="1:9" ht="11.25" customHeight="1">
      <c r="A282" s="1776" t="s">
        <v>2323</v>
      </c>
      <c r="B282" s="1776" t="s">
        <v>16</v>
      </c>
      <c r="C282" s="1776" t="s">
        <v>3102</v>
      </c>
      <c r="D282" s="1776" t="s">
        <v>3103</v>
      </c>
      <c r="E282" s="1776" t="s">
        <v>3104</v>
      </c>
      <c r="F282" s="1776" t="s">
        <v>2515</v>
      </c>
      <c r="G282" s="1776" t="s">
        <v>3105</v>
      </c>
      <c r="H282" s="1776" t="s">
        <v>28</v>
      </c>
      <c r="I282" s="1776" t="s">
        <v>932</v>
      </c>
    </row>
    <row r="283" spans="1:9" ht="11.25" customHeight="1">
      <c r="A283" s="1776" t="s">
        <v>2323</v>
      </c>
      <c r="B283" s="1776" t="s">
        <v>16</v>
      </c>
      <c r="C283" s="1776" t="s">
        <v>2831</v>
      </c>
      <c r="D283" s="1776" t="s">
        <v>2832</v>
      </c>
      <c r="E283" s="1776" t="s">
        <v>2833</v>
      </c>
      <c r="F283" s="1776" t="s">
        <v>2834</v>
      </c>
      <c r="G283" s="1776" t="s">
        <v>28</v>
      </c>
      <c r="H283" s="1776" t="s">
        <v>28</v>
      </c>
      <c r="I283" s="1776" t="s">
        <v>932</v>
      </c>
    </row>
    <row r="284" spans="1:9" ht="11.25" customHeight="1">
      <c r="A284" s="1776" t="s">
        <v>2323</v>
      </c>
      <c r="B284" s="1776" t="s">
        <v>16</v>
      </c>
      <c r="C284" s="1776" t="s">
        <v>3106</v>
      </c>
      <c r="D284" s="1776" t="s">
        <v>3107</v>
      </c>
      <c r="E284" s="1776" t="s">
        <v>3108</v>
      </c>
      <c r="F284" s="1776" t="s">
        <v>2413</v>
      </c>
      <c r="G284" s="1776" t="s">
        <v>28</v>
      </c>
      <c r="H284" s="1776" t="s">
        <v>28</v>
      </c>
      <c r="I284" s="1776" t="s">
        <v>932</v>
      </c>
    </row>
    <row r="285" spans="1:9" ht="11.25" customHeight="1">
      <c r="A285" s="1776" t="s">
        <v>2323</v>
      </c>
      <c r="B285" s="1776" t="s">
        <v>16</v>
      </c>
      <c r="C285" s="1776" t="s">
        <v>3109</v>
      </c>
      <c r="D285" s="1776" t="s">
        <v>3110</v>
      </c>
      <c r="E285" s="1776" t="s">
        <v>3111</v>
      </c>
      <c r="F285" s="1776" t="s">
        <v>2879</v>
      </c>
      <c r="G285" s="1776" t="s">
        <v>3055</v>
      </c>
      <c r="H285" s="1776" t="s">
        <v>28</v>
      </c>
      <c r="I285" s="1776" t="s">
        <v>932</v>
      </c>
    </row>
    <row r="286" spans="1:9" ht="11.25" customHeight="1">
      <c r="A286" s="1776" t="s">
        <v>2323</v>
      </c>
      <c r="B286" s="1776" t="s">
        <v>16</v>
      </c>
      <c r="C286" s="1776" t="s">
        <v>3112</v>
      </c>
      <c r="D286" s="1776" t="s">
        <v>3113</v>
      </c>
      <c r="E286" s="1776" t="s">
        <v>3114</v>
      </c>
      <c r="F286" s="1776" t="s">
        <v>2382</v>
      </c>
      <c r="G286" s="1776" t="s">
        <v>28</v>
      </c>
      <c r="H286" s="1776" t="s">
        <v>28</v>
      </c>
      <c r="I286" s="1776" t="s">
        <v>932</v>
      </c>
    </row>
    <row r="287" spans="1:9" ht="11.25" customHeight="1">
      <c r="A287" s="1776" t="s">
        <v>2323</v>
      </c>
      <c r="B287" s="1776" t="s">
        <v>16</v>
      </c>
      <c r="C287" s="1776" t="s">
        <v>3115</v>
      </c>
      <c r="D287" s="1776" t="s">
        <v>3116</v>
      </c>
      <c r="E287" s="1776" t="s">
        <v>3117</v>
      </c>
      <c r="F287" s="1776" t="s">
        <v>2443</v>
      </c>
      <c r="G287" s="1776" t="s">
        <v>28</v>
      </c>
      <c r="H287" s="1776" t="s">
        <v>28</v>
      </c>
      <c r="I287" s="1776" t="s">
        <v>932</v>
      </c>
    </row>
    <row r="288" spans="1:9" ht="11.25" customHeight="1">
      <c r="A288" s="1776" t="s">
        <v>2323</v>
      </c>
      <c r="B288" s="1776" t="s">
        <v>16</v>
      </c>
      <c r="C288" s="1776" t="s">
        <v>28</v>
      </c>
      <c r="D288" s="1776" t="s">
        <v>2845</v>
      </c>
      <c r="E288" s="1776" t="s">
        <v>2846</v>
      </c>
      <c r="F288" s="1776" t="s">
        <v>2589</v>
      </c>
      <c r="G288" s="1776" t="s">
        <v>28</v>
      </c>
      <c r="H288" s="1776" t="s">
        <v>28</v>
      </c>
      <c r="I288" s="1776" t="s">
        <v>932</v>
      </c>
    </row>
    <row r="289" spans="1:9" ht="11.25" customHeight="1">
      <c r="A289" s="1776" t="s">
        <v>2323</v>
      </c>
      <c r="B289" s="1776" t="s">
        <v>16</v>
      </c>
      <c r="C289" s="1776" t="s">
        <v>3118</v>
      </c>
      <c r="D289" s="1776" t="s">
        <v>3119</v>
      </c>
      <c r="E289" s="1776" t="s">
        <v>3120</v>
      </c>
      <c r="F289" s="1776" t="s">
        <v>2585</v>
      </c>
      <c r="G289" s="1776" t="s">
        <v>28</v>
      </c>
      <c r="H289" s="1776" t="s">
        <v>28</v>
      </c>
      <c r="I289" s="1776" t="s">
        <v>932</v>
      </c>
    </row>
    <row r="290" spans="1:9" ht="11.25" customHeight="1">
      <c r="A290" s="1776" t="s">
        <v>2323</v>
      </c>
      <c r="B290" s="1776" t="s">
        <v>16</v>
      </c>
      <c r="C290" s="1776" t="s">
        <v>13</v>
      </c>
      <c r="D290" s="1776" t="s">
        <v>47</v>
      </c>
      <c r="E290" s="1776" t="s">
        <v>50</v>
      </c>
      <c r="F290" s="1776" t="s">
        <v>52</v>
      </c>
      <c r="G290" s="1776" t="s">
        <v>28</v>
      </c>
      <c r="H290" s="1776" t="s">
        <v>28</v>
      </c>
      <c r="I290" s="1776" t="s">
        <v>932</v>
      </c>
    </row>
    <row r="291" spans="1:9" ht="11.25" customHeight="1">
      <c r="A291" s="1776" t="s">
        <v>2323</v>
      </c>
      <c r="B291" s="1776" t="s">
        <v>16</v>
      </c>
      <c r="C291" s="1776" t="s">
        <v>3121</v>
      </c>
      <c r="D291" s="1776" t="s">
        <v>3122</v>
      </c>
      <c r="E291" s="1776" t="s">
        <v>3123</v>
      </c>
      <c r="F291" s="1776" t="s">
        <v>2577</v>
      </c>
      <c r="G291" s="1776" t="s">
        <v>28</v>
      </c>
      <c r="H291" s="1776" t="s">
        <v>28</v>
      </c>
      <c r="I291" s="1776" t="s">
        <v>932</v>
      </c>
    </row>
    <row r="292" spans="1:9" ht="11.25" customHeight="1">
      <c r="A292" s="1776" t="s">
        <v>2323</v>
      </c>
      <c r="B292" s="1776" t="s">
        <v>16</v>
      </c>
      <c r="C292" s="1776" t="s">
        <v>2863</v>
      </c>
      <c r="D292" s="1776" t="s">
        <v>2864</v>
      </c>
      <c r="E292" s="1776" t="s">
        <v>2865</v>
      </c>
      <c r="F292" s="1776" t="s">
        <v>2577</v>
      </c>
      <c r="G292" s="1776" t="s">
        <v>28</v>
      </c>
      <c r="H292" s="1776" t="s">
        <v>28</v>
      </c>
      <c r="I292" s="1776" t="s">
        <v>932</v>
      </c>
    </row>
    <row r="293" spans="1:9" ht="11.25" customHeight="1">
      <c r="A293" s="1776" t="s">
        <v>2323</v>
      </c>
      <c r="B293" s="1776" t="s">
        <v>16</v>
      </c>
      <c r="C293" s="1776" t="s">
        <v>2866</v>
      </c>
      <c r="D293" s="1776" t="s">
        <v>2867</v>
      </c>
      <c r="E293" s="1776" t="s">
        <v>2868</v>
      </c>
      <c r="F293" s="1776" t="s">
        <v>2577</v>
      </c>
      <c r="G293" s="1776" t="s">
        <v>28</v>
      </c>
      <c r="H293" s="1776" t="s">
        <v>28</v>
      </c>
      <c r="I293" s="1776" t="s">
        <v>932</v>
      </c>
    </row>
    <row r="294" spans="1:9" ht="11.25" customHeight="1">
      <c r="A294" s="1776" t="s">
        <v>2323</v>
      </c>
      <c r="B294" s="1776" t="s">
        <v>16</v>
      </c>
      <c r="C294" s="1776" t="s">
        <v>2869</v>
      </c>
      <c r="D294" s="1776" t="s">
        <v>2870</v>
      </c>
      <c r="E294" s="1776" t="s">
        <v>2871</v>
      </c>
      <c r="F294" s="1776" t="s">
        <v>2872</v>
      </c>
      <c r="G294" s="1776" t="s">
        <v>28</v>
      </c>
      <c r="H294" s="1776" t="s">
        <v>28</v>
      </c>
      <c r="I294" s="1776" t="s">
        <v>932</v>
      </c>
    </row>
    <row r="295" spans="1:9" ht="11.25" customHeight="1">
      <c r="A295" s="1776" t="s">
        <v>2323</v>
      </c>
      <c r="B295" s="1776" t="s">
        <v>16</v>
      </c>
      <c r="C295" s="1776" t="s">
        <v>2876</v>
      </c>
      <c r="D295" s="1776" t="s">
        <v>2877</v>
      </c>
      <c r="E295" s="1776" t="s">
        <v>2878</v>
      </c>
      <c r="F295" s="1776" t="s">
        <v>2879</v>
      </c>
      <c r="G295" s="1776" t="s">
        <v>28</v>
      </c>
      <c r="H295" s="1776" t="s">
        <v>28</v>
      </c>
      <c r="I295" s="1776" t="s">
        <v>932</v>
      </c>
    </row>
    <row r="296" spans="1:9" ht="11.25" customHeight="1">
      <c r="A296" s="1776" t="s">
        <v>2323</v>
      </c>
      <c r="B296" s="1776" t="s">
        <v>16</v>
      </c>
      <c r="C296" s="1776" t="s">
        <v>2880</v>
      </c>
      <c r="D296" s="1776" t="s">
        <v>2881</v>
      </c>
      <c r="E296" s="1776" t="s">
        <v>2878</v>
      </c>
      <c r="F296" s="1776" t="s">
        <v>2882</v>
      </c>
      <c r="G296" s="1776" t="s">
        <v>2883</v>
      </c>
      <c r="H296" s="1776" t="s">
        <v>28</v>
      </c>
      <c r="I296" s="1776" t="s">
        <v>932</v>
      </c>
    </row>
    <row r="297" spans="1:9" ht="11.25" customHeight="1">
      <c r="A297" s="1776" t="s">
        <v>2323</v>
      </c>
      <c r="B297" s="1776" t="s">
        <v>16</v>
      </c>
      <c r="C297" s="1776" t="s">
        <v>2895</v>
      </c>
      <c r="D297" s="1776" t="s">
        <v>2896</v>
      </c>
      <c r="E297" s="1776" t="s">
        <v>2897</v>
      </c>
      <c r="F297" s="1776" t="s">
        <v>2898</v>
      </c>
      <c r="G297" s="1776" t="s">
        <v>28</v>
      </c>
      <c r="H297" s="1776" t="s">
        <v>28</v>
      </c>
      <c r="I297" s="1776" t="s">
        <v>932</v>
      </c>
    </row>
    <row r="298" spans="1:9" ht="11.25" customHeight="1">
      <c r="A298" s="1776" t="s">
        <v>2323</v>
      </c>
      <c r="B298" s="1776" t="s">
        <v>16</v>
      </c>
      <c r="C298" s="1776" t="s">
        <v>3124</v>
      </c>
      <c r="D298" s="1776" t="s">
        <v>3125</v>
      </c>
      <c r="E298" s="1776" t="s">
        <v>3126</v>
      </c>
      <c r="F298" s="1776" t="s">
        <v>2589</v>
      </c>
      <c r="G298" s="1776" t="s">
        <v>28</v>
      </c>
      <c r="H298" s="1776" t="s">
        <v>28</v>
      </c>
      <c r="I298" s="1776" t="s">
        <v>985</v>
      </c>
    </row>
    <row r="299" spans="1:9" ht="11.25" customHeight="1">
      <c r="A299" s="1776" t="s">
        <v>2323</v>
      </c>
      <c r="B299" s="1776" t="s">
        <v>16</v>
      </c>
      <c r="C299" s="1776" t="s">
        <v>2362</v>
      </c>
      <c r="D299" s="1776" t="s">
        <v>2363</v>
      </c>
      <c r="E299" s="1776" t="s">
        <v>2364</v>
      </c>
      <c r="F299" s="1776" t="s">
        <v>2365</v>
      </c>
      <c r="G299" s="1776" t="s">
        <v>2366</v>
      </c>
      <c r="H299" s="1776" t="s">
        <v>28</v>
      </c>
      <c r="I299" s="1776" t="s">
        <v>985</v>
      </c>
    </row>
    <row r="300" spans="1:9" ht="11.25" customHeight="1">
      <c r="A300" s="1776" t="s">
        <v>2323</v>
      </c>
      <c r="B300" s="1776" t="s">
        <v>16</v>
      </c>
      <c r="C300" s="1776" t="s">
        <v>2916</v>
      </c>
      <c r="D300" s="1776" t="s">
        <v>2917</v>
      </c>
      <c r="E300" s="1776" t="s">
        <v>2918</v>
      </c>
      <c r="F300" s="1776" t="s">
        <v>2378</v>
      </c>
      <c r="G300" s="1776" t="s">
        <v>28</v>
      </c>
      <c r="H300" s="1776" t="s">
        <v>28</v>
      </c>
      <c r="I300" s="1776" t="s">
        <v>985</v>
      </c>
    </row>
    <row r="301" spans="1:9" ht="11.25" customHeight="1">
      <c r="A301" s="1776" t="s">
        <v>2323</v>
      </c>
      <c r="B301" s="1776" t="s">
        <v>16</v>
      </c>
      <c r="C301" s="1776" t="s">
        <v>3127</v>
      </c>
      <c r="D301" s="1776" t="s">
        <v>3128</v>
      </c>
      <c r="E301" s="1776" t="s">
        <v>3129</v>
      </c>
      <c r="F301" s="1776" t="s">
        <v>2370</v>
      </c>
      <c r="G301" s="1776" t="s">
        <v>28</v>
      </c>
      <c r="H301" s="1776" t="s">
        <v>28</v>
      </c>
      <c r="I301" s="1776" t="s">
        <v>985</v>
      </c>
    </row>
    <row r="302" spans="1:9" ht="11.25" customHeight="1">
      <c r="A302" s="1776" t="s">
        <v>2323</v>
      </c>
      <c r="B302" s="1776" t="s">
        <v>16</v>
      </c>
      <c r="C302" s="1776" t="s">
        <v>2923</v>
      </c>
      <c r="D302" s="1776" t="s">
        <v>2924</v>
      </c>
      <c r="E302" s="1776" t="s">
        <v>2925</v>
      </c>
      <c r="F302" s="1776" t="s">
        <v>2589</v>
      </c>
      <c r="G302" s="1776" t="s">
        <v>2926</v>
      </c>
      <c r="H302" s="1776" t="s">
        <v>28</v>
      </c>
      <c r="I302" s="1776" t="s">
        <v>985</v>
      </c>
    </row>
    <row r="303" spans="1:9" ht="11.25" customHeight="1">
      <c r="A303" s="1776" t="s">
        <v>2323</v>
      </c>
      <c r="B303" s="1776" t="s">
        <v>16</v>
      </c>
      <c r="C303" s="1776" t="s">
        <v>2417</v>
      </c>
      <c r="D303" s="1776" t="s">
        <v>2418</v>
      </c>
      <c r="E303" s="1776" t="s">
        <v>2419</v>
      </c>
      <c r="F303" s="1776" t="s">
        <v>2420</v>
      </c>
      <c r="G303" s="1776" t="s">
        <v>28</v>
      </c>
      <c r="H303" s="1776" t="s">
        <v>28</v>
      </c>
      <c r="I303" s="1776" t="s">
        <v>985</v>
      </c>
    </row>
    <row r="304" spans="1:9" ht="11.25" customHeight="1">
      <c r="A304" s="1776" t="s">
        <v>2323</v>
      </c>
      <c r="B304" s="1776" t="s">
        <v>16</v>
      </c>
      <c r="C304" s="1776" t="s">
        <v>2927</v>
      </c>
      <c r="D304" s="1776" t="s">
        <v>2928</v>
      </c>
      <c r="E304" s="1776" t="s">
        <v>2929</v>
      </c>
      <c r="F304" s="1776" t="s">
        <v>2589</v>
      </c>
      <c r="G304" s="1776" t="s">
        <v>2930</v>
      </c>
      <c r="H304" s="1776" t="s">
        <v>28</v>
      </c>
      <c r="I304" s="1776" t="s">
        <v>985</v>
      </c>
    </row>
    <row r="305" spans="1:9" ht="11.25" customHeight="1">
      <c r="A305" s="1776" t="s">
        <v>2323</v>
      </c>
      <c r="B305" s="1776" t="s">
        <v>16</v>
      </c>
      <c r="C305" s="1776" t="s">
        <v>2437</v>
      </c>
      <c r="D305" s="1776" t="s">
        <v>2438</v>
      </c>
      <c r="E305" s="1776" t="s">
        <v>2439</v>
      </c>
      <c r="F305" s="1776" t="s">
        <v>2331</v>
      </c>
      <c r="G305" s="1776" t="s">
        <v>28</v>
      </c>
      <c r="H305" s="1776" t="s">
        <v>28</v>
      </c>
      <c r="I305" s="1776" t="s">
        <v>985</v>
      </c>
    </row>
    <row r="306" spans="1:9" ht="11.25" customHeight="1">
      <c r="A306" s="1776" t="s">
        <v>2323</v>
      </c>
      <c r="B306" s="1776" t="s">
        <v>16</v>
      </c>
      <c r="C306" s="1776" t="s">
        <v>2942</v>
      </c>
      <c r="D306" s="1776" t="s">
        <v>2943</v>
      </c>
      <c r="E306" s="1776" t="s">
        <v>2944</v>
      </c>
      <c r="F306" s="1776" t="s">
        <v>2436</v>
      </c>
      <c r="G306" s="1776" t="s">
        <v>2751</v>
      </c>
      <c r="H306" s="1776" t="s">
        <v>28</v>
      </c>
      <c r="I306" s="1776" t="s">
        <v>985</v>
      </c>
    </row>
    <row r="307" spans="1:9" ht="11.25" customHeight="1">
      <c r="A307" s="1776" t="s">
        <v>2323</v>
      </c>
      <c r="B307" s="1776" t="s">
        <v>16</v>
      </c>
      <c r="C307" s="1776" t="s">
        <v>2456</v>
      </c>
      <c r="D307" s="1776" t="s">
        <v>2457</v>
      </c>
      <c r="E307" s="1776" t="s">
        <v>2458</v>
      </c>
      <c r="F307" s="1776" t="s">
        <v>2459</v>
      </c>
      <c r="G307" s="1776" t="s">
        <v>28</v>
      </c>
      <c r="H307" s="1776" t="s">
        <v>28</v>
      </c>
      <c r="I307" s="1776" t="s">
        <v>985</v>
      </c>
    </row>
    <row r="308" spans="1:9" ht="11.25" customHeight="1">
      <c r="A308" s="1776" t="s">
        <v>2323</v>
      </c>
      <c r="B308" s="1776" t="s">
        <v>16</v>
      </c>
      <c r="C308" s="1776" t="s">
        <v>2949</v>
      </c>
      <c r="D308" s="1776" t="s">
        <v>2950</v>
      </c>
      <c r="E308" s="1776" t="s">
        <v>2951</v>
      </c>
      <c r="F308" s="1776" t="s">
        <v>2548</v>
      </c>
      <c r="G308" s="1776" t="s">
        <v>28</v>
      </c>
      <c r="H308" s="1776" t="s">
        <v>28</v>
      </c>
      <c r="I308" s="1776" t="s">
        <v>985</v>
      </c>
    </row>
    <row r="309" spans="1:9" ht="11.25" customHeight="1">
      <c r="A309" s="1776" t="s">
        <v>2323</v>
      </c>
      <c r="B309" s="1776" t="s">
        <v>16</v>
      </c>
      <c r="C309" s="1776" t="s">
        <v>2962</v>
      </c>
      <c r="D309" s="1776" t="s">
        <v>2957</v>
      </c>
      <c r="E309" s="1776" t="s">
        <v>2963</v>
      </c>
      <c r="F309" s="1776" t="s">
        <v>2964</v>
      </c>
      <c r="G309" s="1776" t="s">
        <v>28</v>
      </c>
      <c r="H309" s="1776" t="s">
        <v>28</v>
      </c>
      <c r="I309" s="1776" t="s">
        <v>985</v>
      </c>
    </row>
    <row r="310" spans="1:9" ht="11.25" customHeight="1">
      <c r="A310" s="1776" t="s">
        <v>2323</v>
      </c>
      <c r="B310" s="1776" t="s">
        <v>16</v>
      </c>
      <c r="C310" s="1776" t="s">
        <v>2969</v>
      </c>
      <c r="D310" s="1776" t="s">
        <v>2970</v>
      </c>
      <c r="E310" s="1776" t="s">
        <v>2971</v>
      </c>
      <c r="F310" s="1776" t="s">
        <v>2548</v>
      </c>
      <c r="G310" s="1776" t="s">
        <v>28</v>
      </c>
      <c r="H310" s="1776" t="s">
        <v>28</v>
      </c>
      <c r="I310" s="1776" t="s">
        <v>985</v>
      </c>
    </row>
    <row r="311" spans="1:9" ht="11.25" customHeight="1">
      <c r="A311" s="1776" t="s">
        <v>2323</v>
      </c>
      <c r="B311" s="1776" t="s">
        <v>16</v>
      </c>
      <c r="C311" s="1776" t="s">
        <v>2972</v>
      </c>
      <c r="D311" s="1776" t="s">
        <v>2973</v>
      </c>
      <c r="E311" s="1776" t="s">
        <v>2974</v>
      </c>
      <c r="F311" s="1776" t="s">
        <v>2975</v>
      </c>
      <c r="G311" s="1776" t="s">
        <v>2976</v>
      </c>
      <c r="H311" s="1776" t="s">
        <v>28</v>
      </c>
      <c r="I311" s="1776" t="s">
        <v>985</v>
      </c>
    </row>
    <row r="312" spans="1:9" ht="11.25" customHeight="1">
      <c r="A312" s="1776" t="s">
        <v>2323</v>
      </c>
      <c r="B312" s="1776" t="s">
        <v>16</v>
      </c>
      <c r="C312" s="1776" t="s">
        <v>2977</v>
      </c>
      <c r="D312" s="1776" t="s">
        <v>2978</v>
      </c>
      <c r="E312" s="1776" t="s">
        <v>2979</v>
      </c>
      <c r="F312" s="1776" t="s">
        <v>2745</v>
      </c>
      <c r="G312" s="1776" t="s">
        <v>28</v>
      </c>
      <c r="H312" s="1776" t="s">
        <v>28</v>
      </c>
      <c r="I312" s="1776" t="s">
        <v>985</v>
      </c>
    </row>
    <row r="313" spans="1:9" ht="11.25" customHeight="1">
      <c r="A313" s="1776" t="s">
        <v>2323</v>
      </c>
      <c r="B313" s="1776" t="s">
        <v>16</v>
      </c>
      <c r="C313" s="1776" t="s">
        <v>2980</v>
      </c>
      <c r="D313" s="1776" t="s">
        <v>2981</v>
      </c>
      <c r="E313" s="1776" t="s">
        <v>2982</v>
      </c>
      <c r="F313" s="1776" t="s">
        <v>2532</v>
      </c>
      <c r="G313" s="1776" t="s">
        <v>2983</v>
      </c>
      <c r="H313" s="1776" t="s">
        <v>28</v>
      </c>
      <c r="I313" s="1776" t="s">
        <v>985</v>
      </c>
    </row>
    <row r="314" spans="1:9" ht="11.25" customHeight="1">
      <c r="A314" s="1776" t="s">
        <v>2323</v>
      </c>
      <c r="B314" s="1776" t="s">
        <v>16</v>
      </c>
      <c r="C314" s="1776" t="s">
        <v>2523</v>
      </c>
      <c r="D314" s="1776" t="s">
        <v>2524</v>
      </c>
      <c r="E314" s="1776" t="s">
        <v>2525</v>
      </c>
      <c r="F314" s="1776" t="s">
        <v>2382</v>
      </c>
      <c r="G314" s="1776" t="s">
        <v>28</v>
      </c>
      <c r="H314" s="1776" t="s">
        <v>28</v>
      </c>
      <c r="I314" s="1776" t="s">
        <v>985</v>
      </c>
    </row>
    <row r="315" spans="1:9" ht="11.25" customHeight="1">
      <c r="A315" s="1776" t="s">
        <v>2323</v>
      </c>
      <c r="B315" s="1776" t="s">
        <v>16</v>
      </c>
      <c r="C315" s="1776" t="s">
        <v>2995</v>
      </c>
      <c r="D315" s="1776" t="s">
        <v>2996</v>
      </c>
      <c r="E315" s="1776" t="s">
        <v>2997</v>
      </c>
      <c r="F315" s="1776" t="s">
        <v>2556</v>
      </c>
      <c r="G315" s="1776" t="s">
        <v>28</v>
      </c>
      <c r="H315" s="1776" t="s">
        <v>28</v>
      </c>
      <c r="I315" s="1776" t="s">
        <v>985</v>
      </c>
    </row>
    <row r="316" spans="1:9" ht="11.25" customHeight="1">
      <c r="A316" s="1776" t="s">
        <v>2323</v>
      </c>
      <c r="B316" s="1776" t="s">
        <v>16</v>
      </c>
      <c r="C316" s="1776" t="s">
        <v>2533</v>
      </c>
      <c r="D316" s="1776" t="s">
        <v>2534</v>
      </c>
      <c r="E316" s="1776" t="s">
        <v>2535</v>
      </c>
      <c r="F316" s="1776" t="s">
        <v>2536</v>
      </c>
      <c r="G316" s="1776" t="s">
        <v>28</v>
      </c>
      <c r="H316" s="1776" t="s">
        <v>28</v>
      </c>
      <c r="I316" s="1776" t="s">
        <v>985</v>
      </c>
    </row>
    <row r="317" spans="1:9" ht="11.25" customHeight="1">
      <c r="A317" s="1776" t="s">
        <v>2323</v>
      </c>
      <c r="B317" s="1776" t="s">
        <v>16</v>
      </c>
      <c r="C317" s="1776" t="s">
        <v>3001</v>
      </c>
      <c r="D317" s="1776" t="s">
        <v>3002</v>
      </c>
      <c r="E317" s="1776" t="s">
        <v>3003</v>
      </c>
      <c r="F317" s="1776" t="s">
        <v>2872</v>
      </c>
      <c r="G317" s="1776" t="s">
        <v>3004</v>
      </c>
      <c r="H317" s="1776" t="s">
        <v>28</v>
      </c>
      <c r="I317" s="1776" t="s">
        <v>985</v>
      </c>
    </row>
    <row r="318" spans="1:9" ht="11.25" customHeight="1">
      <c r="A318" s="1776" t="s">
        <v>2323</v>
      </c>
      <c r="B318" s="1776" t="s">
        <v>16</v>
      </c>
      <c r="C318" s="1776" t="s">
        <v>3008</v>
      </c>
      <c r="D318" s="1776" t="s">
        <v>3009</v>
      </c>
      <c r="E318" s="1776" t="s">
        <v>3010</v>
      </c>
      <c r="F318" s="1776" t="s">
        <v>2544</v>
      </c>
      <c r="G318" s="1776" t="s">
        <v>28</v>
      </c>
      <c r="H318" s="1776" t="s">
        <v>28</v>
      </c>
      <c r="I318" s="1776" t="s">
        <v>985</v>
      </c>
    </row>
    <row r="319" spans="1:9" ht="11.25" customHeight="1">
      <c r="A319" s="1776" t="s">
        <v>2323</v>
      </c>
      <c r="B319" s="1776" t="s">
        <v>16</v>
      </c>
      <c r="C319" s="1776" t="s">
        <v>3011</v>
      </c>
      <c r="D319" s="1776" t="s">
        <v>3012</v>
      </c>
      <c r="E319" s="1776" t="s">
        <v>3013</v>
      </c>
      <c r="F319" s="1776" t="s">
        <v>3014</v>
      </c>
      <c r="G319" s="1776" t="s">
        <v>3015</v>
      </c>
      <c r="H319" s="1776" t="s">
        <v>28</v>
      </c>
      <c r="I319" s="1776" t="s">
        <v>985</v>
      </c>
    </row>
    <row r="320" spans="1:9" ht="11.25" customHeight="1">
      <c r="A320" s="1776" t="s">
        <v>2323</v>
      </c>
      <c r="B320" s="1776" t="s">
        <v>16</v>
      </c>
      <c r="C320" s="1776" t="s">
        <v>3020</v>
      </c>
      <c r="D320" s="1776" t="s">
        <v>3021</v>
      </c>
      <c r="E320" s="1776" t="s">
        <v>3022</v>
      </c>
      <c r="F320" s="1776" t="s">
        <v>2593</v>
      </c>
      <c r="G320" s="1776" t="s">
        <v>3023</v>
      </c>
      <c r="H320" s="1776" t="s">
        <v>28</v>
      </c>
      <c r="I320" s="1776" t="s">
        <v>985</v>
      </c>
    </row>
    <row r="321" spans="1:9" ht="11.25" customHeight="1">
      <c r="A321" s="1776" t="s">
        <v>2323</v>
      </c>
      <c r="B321" s="1776" t="s">
        <v>16</v>
      </c>
      <c r="C321" s="1776" t="s">
        <v>2537</v>
      </c>
      <c r="D321" s="1776" t="s">
        <v>2538</v>
      </c>
      <c r="E321" s="1776" t="s">
        <v>2539</v>
      </c>
      <c r="F321" s="1776" t="s">
        <v>2540</v>
      </c>
      <c r="G321" s="1776" t="s">
        <v>28</v>
      </c>
      <c r="H321" s="1776" t="s">
        <v>28</v>
      </c>
      <c r="I321" s="1776" t="s">
        <v>985</v>
      </c>
    </row>
    <row r="322" spans="1:9" ht="11.25" customHeight="1">
      <c r="A322" s="1776" t="s">
        <v>2323</v>
      </c>
      <c r="B322" s="1776" t="s">
        <v>16</v>
      </c>
      <c r="C322" s="1776" t="s">
        <v>3031</v>
      </c>
      <c r="D322" s="1776" t="s">
        <v>3032</v>
      </c>
      <c r="E322" s="1776" t="s">
        <v>3033</v>
      </c>
      <c r="F322" s="1776" t="s">
        <v>2447</v>
      </c>
      <c r="G322" s="1776" t="s">
        <v>28</v>
      </c>
      <c r="H322" s="1776" t="s">
        <v>28</v>
      </c>
      <c r="I322" s="1776" t="s">
        <v>985</v>
      </c>
    </row>
    <row r="323" spans="1:9" ht="11.25" customHeight="1">
      <c r="A323" s="1776" t="s">
        <v>2323</v>
      </c>
      <c r="B323" s="1776" t="s">
        <v>16</v>
      </c>
      <c r="C323" s="1776" t="s">
        <v>3034</v>
      </c>
      <c r="D323" s="1776" t="s">
        <v>3035</v>
      </c>
      <c r="E323" s="1776" t="s">
        <v>3036</v>
      </c>
      <c r="F323" s="1776" t="s">
        <v>2519</v>
      </c>
      <c r="G323" s="1776" t="s">
        <v>28</v>
      </c>
      <c r="H323" s="1776" t="s">
        <v>28</v>
      </c>
      <c r="I323" s="1776" t="s">
        <v>985</v>
      </c>
    </row>
    <row r="324" spans="1:9" ht="11.25" customHeight="1">
      <c r="A324" s="1776" t="s">
        <v>2323</v>
      </c>
      <c r="B324" s="1776" t="s">
        <v>16</v>
      </c>
      <c r="C324" s="1776" t="s">
        <v>3037</v>
      </c>
      <c r="D324" s="1776" t="s">
        <v>3038</v>
      </c>
      <c r="E324" s="1776" t="s">
        <v>3039</v>
      </c>
      <c r="F324" s="1776" t="s">
        <v>2365</v>
      </c>
      <c r="G324" s="1776" t="s">
        <v>28</v>
      </c>
      <c r="H324" s="1776" t="s">
        <v>28</v>
      </c>
      <c r="I324" s="1776" t="s">
        <v>985</v>
      </c>
    </row>
    <row r="325" spans="1:9" ht="11.25" customHeight="1">
      <c r="A325" s="1776" t="s">
        <v>2323</v>
      </c>
      <c r="B325" s="1776" t="s">
        <v>16</v>
      </c>
      <c r="C325" s="1776" t="s">
        <v>3040</v>
      </c>
      <c r="D325" s="1776" t="s">
        <v>3041</v>
      </c>
      <c r="E325" s="1776" t="s">
        <v>3042</v>
      </c>
      <c r="F325" s="1776" t="s">
        <v>2570</v>
      </c>
      <c r="G325" s="1776" t="s">
        <v>28</v>
      </c>
      <c r="H325" s="1776" t="s">
        <v>28</v>
      </c>
      <c r="I325" s="1776" t="s">
        <v>985</v>
      </c>
    </row>
    <row r="326" spans="1:9" ht="11.25" customHeight="1">
      <c r="A326" s="1776" t="s">
        <v>2323</v>
      </c>
      <c r="B326" s="1776" t="s">
        <v>16</v>
      </c>
      <c r="C326" s="1776" t="s">
        <v>3043</v>
      </c>
      <c r="D326" s="1776" t="s">
        <v>3044</v>
      </c>
      <c r="E326" s="1776" t="s">
        <v>3045</v>
      </c>
      <c r="F326" s="1776" t="s">
        <v>2570</v>
      </c>
      <c r="G326" s="1776" t="s">
        <v>28</v>
      </c>
      <c r="H326" s="1776" t="s">
        <v>28</v>
      </c>
      <c r="I326" s="1776" t="s">
        <v>985</v>
      </c>
    </row>
    <row r="327" spans="1:9" ht="11.25" customHeight="1">
      <c r="A327" s="1776" t="s">
        <v>2323</v>
      </c>
      <c r="B327" s="1776" t="s">
        <v>16</v>
      </c>
      <c r="C327" s="1776" t="s">
        <v>3046</v>
      </c>
      <c r="D327" s="1776" t="s">
        <v>3047</v>
      </c>
      <c r="E327" s="1776" t="s">
        <v>3048</v>
      </c>
      <c r="F327" s="1776" t="s">
        <v>2459</v>
      </c>
      <c r="G327" s="1776" t="s">
        <v>28</v>
      </c>
      <c r="H327" s="1776" t="s">
        <v>28</v>
      </c>
      <c r="I327" s="1776" t="s">
        <v>985</v>
      </c>
    </row>
    <row r="328" spans="1:9" ht="11.25" customHeight="1">
      <c r="A328" s="1776" t="s">
        <v>2323</v>
      </c>
      <c r="B328" s="1776" t="s">
        <v>16</v>
      </c>
      <c r="C328" s="1776" t="s">
        <v>3130</v>
      </c>
      <c r="D328" s="1776" t="s">
        <v>3131</v>
      </c>
      <c r="E328" s="1776" t="s">
        <v>3132</v>
      </c>
      <c r="F328" s="1776" t="s">
        <v>2374</v>
      </c>
      <c r="G328" s="1776" t="s">
        <v>3133</v>
      </c>
      <c r="H328" s="1776" t="s">
        <v>28</v>
      </c>
      <c r="I328" s="1776" t="s">
        <v>985</v>
      </c>
    </row>
    <row r="329" spans="1:9" ht="11.25" customHeight="1">
      <c r="A329" s="1776" t="s">
        <v>2323</v>
      </c>
      <c r="B329" s="1776" t="s">
        <v>16</v>
      </c>
      <c r="C329" s="1776" t="s">
        <v>2604</v>
      </c>
      <c r="D329" s="1776" t="s">
        <v>2605</v>
      </c>
      <c r="E329" s="1776" t="s">
        <v>2606</v>
      </c>
      <c r="F329" s="1776" t="s">
        <v>2519</v>
      </c>
      <c r="G329" s="1776" t="s">
        <v>28</v>
      </c>
      <c r="H329" s="1776" t="s">
        <v>28</v>
      </c>
      <c r="I329" s="1776" t="s">
        <v>985</v>
      </c>
    </row>
    <row r="330" spans="1:9" ht="11.25" customHeight="1">
      <c r="A330" s="1776" t="s">
        <v>2323</v>
      </c>
      <c r="B330" s="1776" t="s">
        <v>16</v>
      </c>
      <c r="C330" s="1776" t="s">
        <v>3049</v>
      </c>
      <c r="D330" s="1776" t="s">
        <v>3050</v>
      </c>
      <c r="E330" s="1776" t="s">
        <v>3051</v>
      </c>
      <c r="F330" s="1776" t="s">
        <v>2443</v>
      </c>
      <c r="G330" s="1776" t="s">
        <v>28</v>
      </c>
      <c r="H330" s="1776" t="s">
        <v>28</v>
      </c>
      <c r="I330" s="1776" t="s">
        <v>985</v>
      </c>
    </row>
    <row r="331" spans="1:9" ht="11.25" customHeight="1">
      <c r="A331" s="1776" t="s">
        <v>2323</v>
      </c>
      <c r="B331" s="1776" t="s">
        <v>16</v>
      </c>
      <c r="C331" s="1776" t="s">
        <v>3134</v>
      </c>
      <c r="D331" s="1776" t="s">
        <v>3135</v>
      </c>
      <c r="E331" s="1776" t="s">
        <v>3136</v>
      </c>
      <c r="F331" s="1776" t="s">
        <v>2331</v>
      </c>
      <c r="G331" s="1776" t="s">
        <v>28</v>
      </c>
      <c r="H331" s="1776" t="s">
        <v>28</v>
      </c>
      <c r="I331" s="1776" t="s">
        <v>985</v>
      </c>
    </row>
    <row r="332" spans="1:9" ht="11.25" customHeight="1">
      <c r="A332" s="1776" t="s">
        <v>2323</v>
      </c>
      <c r="B332" s="1776" t="s">
        <v>16</v>
      </c>
      <c r="C332" s="1776" t="s">
        <v>3052</v>
      </c>
      <c r="D332" s="1776" t="s">
        <v>3053</v>
      </c>
      <c r="E332" s="1776" t="s">
        <v>3054</v>
      </c>
      <c r="F332" s="1776" t="s">
        <v>2365</v>
      </c>
      <c r="G332" s="1776" t="s">
        <v>3055</v>
      </c>
      <c r="H332" s="1776" t="s">
        <v>28</v>
      </c>
      <c r="I332" s="1776" t="s">
        <v>985</v>
      </c>
    </row>
    <row r="333" spans="1:9" ht="11.25" customHeight="1">
      <c r="A333" s="1776" t="s">
        <v>2323</v>
      </c>
      <c r="B333" s="1776" t="s">
        <v>16</v>
      </c>
      <c r="C333" s="1776" t="s">
        <v>3056</v>
      </c>
      <c r="D333" s="1776" t="s">
        <v>3057</v>
      </c>
      <c r="E333" s="1776" t="s">
        <v>3058</v>
      </c>
      <c r="F333" s="1776" t="s">
        <v>2872</v>
      </c>
      <c r="G333" s="1776" t="s">
        <v>28</v>
      </c>
      <c r="H333" s="1776" t="s">
        <v>28</v>
      </c>
      <c r="I333" s="1776" t="s">
        <v>985</v>
      </c>
    </row>
    <row r="334" spans="1:9" ht="11.25" customHeight="1">
      <c r="A334" s="1776" t="s">
        <v>2323</v>
      </c>
      <c r="B334" s="1776" t="s">
        <v>16</v>
      </c>
      <c r="C334" s="1776" t="s">
        <v>3059</v>
      </c>
      <c r="D334" s="1776" t="s">
        <v>3060</v>
      </c>
      <c r="E334" s="1776" t="s">
        <v>3061</v>
      </c>
      <c r="F334" s="1776" t="s">
        <v>2773</v>
      </c>
      <c r="G334" s="1776" t="s">
        <v>28</v>
      </c>
      <c r="H334" s="1776" t="s">
        <v>28</v>
      </c>
      <c r="I334" s="1776" t="s">
        <v>985</v>
      </c>
    </row>
    <row r="335" spans="1:9" ht="11.25" customHeight="1">
      <c r="A335" s="1776" t="s">
        <v>2323</v>
      </c>
      <c r="B335" s="1776" t="s">
        <v>16</v>
      </c>
      <c r="C335" s="1776" t="s">
        <v>3137</v>
      </c>
      <c r="D335" s="1776" t="s">
        <v>3138</v>
      </c>
      <c r="E335" s="1776" t="s">
        <v>3139</v>
      </c>
      <c r="F335" s="1776" t="s">
        <v>3140</v>
      </c>
      <c r="G335" s="1776" t="s">
        <v>28</v>
      </c>
      <c r="H335" s="1776" t="s">
        <v>28</v>
      </c>
      <c r="I335" s="1776" t="s">
        <v>985</v>
      </c>
    </row>
    <row r="336" spans="1:9" ht="11.25" customHeight="1">
      <c r="A336" s="1776" t="s">
        <v>2323</v>
      </c>
      <c r="B336" s="1776" t="s">
        <v>16</v>
      </c>
      <c r="C336" s="1776" t="s">
        <v>3062</v>
      </c>
      <c r="D336" s="1776" t="s">
        <v>3063</v>
      </c>
      <c r="E336" s="1776" t="s">
        <v>3064</v>
      </c>
      <c r="F336" s="1776" t="s">
        <v>2459</v>
      </c>
      <c r="G336" s="1776" t="s">
        <v>3065</v>
      </c>
      <c r="H336" s="1776" t="s">
        <v>28</v>
      </c>
      <c r="I336" s="1776" t="s">
        <v>985</v>
      </c>
    </row>
    <row r="337" spans="1:9" ht="11.25" customHeight="1">
      <c r="A337" s="1776" t="s">
        <v>2323</v>
      </c>
      <c r="B337" s="1776" t="s">
        <v>16</v>
      </c>
      <c r="C337" s="1776" t="s">
        <v>3073</v>
      </c>
      <c r="D337" s="1776" t="s">
        <v>3074</v>
      </c>
      <c r="E337" s="1776" t="s">
        <v>3075</v>
      </c>
      <c r="F337" s="1776" t="s">
        <v>3076</v>
      </c>
      <c r="G337" s="1776" t="s">
        <v>28</v>
      </c>
      <c r="H337" s="1776" t="s">
        <v>28</v>
      </c>
      <c r="I337" s="1776" t="s">
        <v>985</v>
      </c>
    </row>
    <row r="338" spans="1:9" ht="11.25" customHeight="1">
      <c r="A338" s="1776" t="s">
        <v>2323</v>
      </c>
      <c r="B338" s="1776" t="s">
        <v>16</v>
      </c>
      <c r="C338" s="1776" t="s">
        <v>3077</v>
      </c>
      <c r="D338" s="1776" t="s">
        <v>3078</v>
      </c>
      <c r="E338" s="1776" t="s">
        <v>3079</v>
      </c>
      <c r="F338" s="1776" t="s">
        <v>2589</v>
      </c>
      <c r="G338" s="1776" t="s">
        <v>3080</v>
      </c>
      <c r="H338" s="1776" t="s">
        <v>28</v>
      </c>
      <c r="I338" s="1776" t="s">
        <v>985</v>
      </c>
    </row>
    <row r="339" spans="1:9" ht="11.25" customHeight="1">
      <c r="A339" s="1776" t="s">
        <v>2323</v>
      </c>
      <c r="B339" s="1776" t="s">
        <v>16</v>
      </c>
      <c r="C339" s="1776" t="s">
        <v>3141</v>
      </c>
      <c r="D339" s="1776" t="s">
        <v>3142</v>
      </c>
      <c r="E339" s="1776" t="s">
        <v>3143</v>
      </c>
      <c r="F339" s="1776" t="s">
        <v>2395</v>
      </c>
      <c r="G339" s="1776" t="s">
        <v>28</v>
      </c>
      <c r="H339" s="1776" t="s">
        <v>28</v>
      </c>
      <c r="I339" s="1776" t="s">
        <v>985</v>
      </c>
    </row>
    <row r="340" spans="1:9" ht="11.25" customHeight="1">
      <c r="A340" s="1776" t="s">
        <v>2323</v>
      </c>
      <c r="B340" s="1776" t="s">
        <v>16</v>
      </c>
      <c r="C340" s="1776" t="s">
        <v>2682</v>
      </c>
      <c r="D340" s="1776" t="s">
        <v>2683</v>
      </c>
      <c r="E340" s="1776" t="s">
        <v>2684</v>
      </c>
      <c r="F340" s="1776" t="s">
        <v>2685</v>
      </c>
      <c r="G340" s="1776" t="s">
        <v>28</v>
      </c>
      <c r="H340" s="1776" t="s">
        <v>28</v>
      </c>
      <c r="I340" s="1776" t="s">
        <v>985</v>
      </c>
    </row>
    <row r="341" spans="1:9" ht="11.25" customHeight="1">
      <c r="A341" s="1776" t="s">
        <v>2323</v>
      </c>
      <c r="B341" s="1776" t="s">
        <v>16</v>
      </c>
      <c r="C341" s="1776" t="s">
        <v>3088</v>
      </c>
      <c r="D341" s="1776" t="s">
        <v>3089</v>
      </c>
      <c r="E341" s="1776" t="s">
        <v>3090</v>
      </c>
      <c r="F341" s="1776" t="s">
        <v>2443</v>
      </c>
      <c r="G341" s="1776" t="s">
        <v>3091</v>
      </c>
      <c r="H341" s="1776" t="s">
        <v>28</v>
      </c>
      <c r="I341" s="1776" t="s">
        <v>985</v>
      </c>
    </row>
    <row r="342" spans="1:9" ht="11.25" customHeight="1">
      <c r="A342" s="1776" t="s">
        <v>2323</v>
      </c>
      <c r="B342" s="1776" t="s">
        <v>16</v>
      </c>
      <c r="C342" s="1776" t="s">
        <v>3144</v>
      </c>
      <c r="D342" s="1776" t="s">
        <v>3145</v>
      </c>
      <c r="E342" s="1776" t="s">
        <v>3146</v>
      </c>
      <c r="F342" s="1776" t="s">
        <v>2879</v>
      </c>
      <c r="G342" s="1776" t="s">
        <v>3147</v>
      </c>
      <c r="H342" s="1776" t="s">
        <v>28</v>
      </c>
      <c r="I342" s="1776" t="s">
        <v>985</v>
      </c>
    </row>
    <row r="343" spans="1:9" ht="11.25" customHeight="1">
      <c r="A343" s="1776" t="s">
        <v>2323</v>
      </c>
      <c r="B343" s="1776" t="s">
        <v>16</v>
      </c>
      <c r="C343" s="1776" t="s">
        <v>3092</v>
      </c>
      <c r="D343" s="1776" t="s">
        <v>3093</v>
      </c>
      <c r="E343" s="1776" t="s">
        <v>3094</v>
      </c>
      <c r="F343" s="1776" t="s">
        <v>3095</v>
      </c>
      <c r="G343" s="1776" t="s">
        <v>28</v>
      </c>
      <c r="H343" s="1776" t="s">
        <v>28</v>
      </c>
      <c r="I343" s="1776" t="s">
        <v>985</v>
      </c>
    </row>
    <row r="344" spans="1:9" ht="11.25" customHeight="1">
      <c r="A344" s="1776" t="s">
        <v>2323</v>
      </c>
      <c r="B344" s="1776" t="s">
        <v>16</v>
      </c>
      <c r="C344" s="1776" t="s">
        <v>3148</v>
      </c>
      <c r="D344" s="1776" t="s">
        <v>3149</v>
      </c>
      <c r="E344" s="1776" t="s">
        <v>3150</v>
      </c>
      <c r="F344" s="1776" t="s">
        <v>2585</v>
      </c>
      <c r="G344" s="1776" t="s">
        <v>3151</v>
      </c>
      <c r="H344" s="1776" t="s">
        <v>28</v>
      </c>
      <c r="I344" s="1776" t="s">
        <v>985</v>
      </c>
    </row>
    <row r="345" spans="1:9" ht="11.25" customHeight="1">
      <c r="A345" s="1776" t="s">
        <v>2323</v>
      </c>
      <c r="B345" s="1776" t="s">
        <v>16</v>
      </c>
      <c r="C345" s="1776" t="s">
        <v>3152</v>
      </c>
      <c r="D345" s="1776" t="s">
        <v>3153</v>
      </c>
      <c r="E345" s="1776" t="s">
        <v>3154</v>
      </c>
      <c r="F345" s="1776" t="s">
        <v>2413</v>
      </c>
      <c r="G345" s="1776" t="s">
        <v>3155</v>
      </c>
      <c r="H345" s="1776" t="s">
        <v>28</v>
      </c>
      <c r="I345" s="1776" t="s">
        <v>985</v>
      </c>
    </row>
    <row r="346" spans="1:9" ht="11.25" customHeight="1">
      <c r="A346" s="1776" t="s">
        <v>2323</v>
      </c>
      <c r="B346" s="1776" t="s">
        <v>16</v>
      </c>
      <c r="C346" s="1776" t="s">
        <v>2817</v>
      </c>
      <c r="D346" s="1776" t="s">
        <v>2818</v>
      </c>
      <c r="E346" s="1776" t="s">
        <v>2819</v>
      </c>
      <c r="F346" s="1776" t="s">
        <v>2570</v>
      </c>
      <c r="G346" s="1776" t="s">
        <v>28</v>
      </c>
      <c r="H346" s="1776" t="s">
        <v>28</v>
      </c>
      <c r="I346" s="1776" t="s">
        <v>985</v>
      </c>
    </row>
    <row r="347" spans="1:9" ht="11.25" customHeight="1">
      <c r="A347" s="1776" t="s">
        <v>2323</v>
      </c>
      <c r="B347" s="1776" t="s">
        <v>16</v>
      </c>
      <c r="C347" s="1776" t="s">
        <v>2831</v>
      </c>
      <c r="D347" s="1776" t="s">
        <v>2832</v>
      </c>
      <c r="E347" s="1776" t="s">
        <v>2833</v>
      </c>
      <c r="F347" s="1776" t="s">
        <v>2834</v>
      </c>
      <c r="G347" s="1776" t="s">
        <v>28</v>
      </c>
      <c r="H347" s="1776" t="s">
        <v>28</v>
      </c>
      <c r="I347" s="1776" t="s">
        <v>985</v>
      </c>
    </row>
    <row r="348" spans="1:9" ht="11.25" customHeight="1">
      <c r="A348" s="1776" t="s">
        <v>2323</v>
      </c>
      <c r="B348" s="1776" t="s">
        <v>16</v>
      </c>
      <c r="C348" s="1776" t="s">
        <v>3106</v>
      </c>
      <c r="D348" s="1776" t="s">
        <v>3107</v>
      </c>
      <c r="E348" s="1776" t="s">
        <v>3108</v>
      </c>
      <c r="F348" s="1776" t="s">
        <v>2413</v>
      </c>
      <c r="G348" s="1776" t="s">
        <v>28</v>
      </c>
      <c r="H348" s="1776" t="s">
        <v>28</v>
      </c>
      <c r="I348" s="1776" t="s">
        <v>985</v>
      </c>
    </row>
    <row r="349" spans="1:9" ht="11.25" customHeight="1">
      <c r="A349" s="1776" t="s">
        <v>2323</v>
      </c>
      <c r="B349" s="1776" t="s">
        <v>16</v>
      </c>
      <c r="C349" s="1776" t="s">
        <v>3109</v>
      </c>
      <c r="D349" s="1776" t="s">
        <v>3110</v>
      </c>
      <c r="E349" s="1776" t="s">
        <v>3111</v>
      </c>
      <c r="F349" s="1776" t="s">
        <v>2879</v>
      </c>
      <c r="G349" s="1776" t="s">
        <v>3055</v>
      </c>
      <c r="H349" s="1776" t="s">
        <v>28</v>
      </c>
      <c r="I349" s="1776" t="s">
        <v>985</v>
      </c>
    </row>
    <row r="350" spans="1:9" ht="11.25" customHeight="1">
      <c r="A350" s="1776" t="s">
        <v>2323</v>
      </c>
      <c r="B350" s="1776" t="s">
        <v>16</v>
      </c>
      <c r="C350" s="1776" t="s">
        <v>28</v>
      </c>
      <c r="D350" s="1776" t="s">
        <v>2845</v>
      </c>
      <c r="E350" s="1776" t="s">
        <v>2846</v>
      </c>
      <c r="F350" s="1776" t="s">
        <v>2589</v>
      </c>
      <c r="G350" s="1776" t="s">
        <v>28</v>
      </c>
      <c r="H350" s="1776" t="s">
        <v>28</v>
      </c>
      <c r="I350" s="1776" t="s">
        <v>985</v>
      </c>
    </row>
    <row r="351" spans="1:9" ht="11.25" customHeight="1">
      <c r="A351" s="1776" t="s">
        <v>2323</v>
      </c>
      <c r="B351" s="1776" t="s">
        <v>16</v>
      </c>
      <c r="C351" s="1776" t="s">
        <v>13</v>
      </c>
      <c r="D351" s="1776" t="s">
        <v>47</v>
      </c>
      <c r="E351" s="1776" t="s">
        <v>50</v>
      </c>
      <c r="F351" s="1776" t="s">
        <v>52</v>
      </c>
      <c r="G351" s="1776" t="s">
        <v>28</v>
      </c>
      <c r="H351" s="1776" t="s">
        <v>28</v>
      </c>
      <c r="I351" s="1776" t="s">
        <v>985</v>
      </c>
    </row>
    <row r="352" spans="1:9" ht="11.25" customHeight="1">
      <c r="A352" s="1776" t="s">
        <v>2323</v>
      </c>
      <c r="B352" s="1776" t="s">
        <v>16</v>
      </c>
      <c r="C352" s="1776" t="s">
        <v>3121</v>
      </c>
      <c r="D352" s="1776" t="s">
        <v>3122</v>
      </c>
      <c r="E352" s="1776" t="s">
        <v>3123</v>
      </c>
      <c r="F352" s="1776" t="s">
        <v>2577</v>
      </c>
      <c r="G352" s="1776" t="s">
        <v>28</v>
      </c>
      <c r="H352" s="1776" t="s">
        <v>28</v>
      </c>
      <c r="I352" s="1776" t="s">
        <v>985</v>
      </c>
    </row>
    <row r="353" spans="1:9" ht="11.25" customHeight="1">
      <c r="A353" s="1776" t="s">
        <v>2323</v>
      </c>
      <c r="B353" s="1776" t="s">
        <v>16</v>
      </c>
      <c r="C353" s="1776" t="s">
        <v>2863</v>
      </c>
      <c r="D353" s="1776" t="s">
        <v>2864</v>
      </c>
      <c r="E353" s="1776" t="s">
        <v>2865</v>
      </c>
      <c r="F353" s="1776" t="s">
        <v>2577</v>
      </c>
      <c r="G353" s="1776" t="s">
        <v>28</v>
      </c>
      <c r="H353" s="1776" t="s">
        <v>28</v>
      </c>
      <c r="I353" s="1776" t="s">
        <v>985</v>
      </c>
    </row>
    <row r="354" spans="1:9" ht="11.25" customHeight="1">
      <c r="A354" s="1776" t="s">
        <v>2323</v>
      </c>
      <c r="B354" s="1776" t="s">
        <v>16</v>
      </c>
      <c r="C354" s="1776" t="s">
        <v>2866</v>
      </c>
      <c r="D354" s="1776" t="s">
        <v>2867</v>
      </c>
      <c r="E354" s="1776" t="s">
        <v>2868</v>
      </c>
      <c r="F354" s="1776" t="s">
        <v>2577</v>
      </c>
      <c r="G354" s="1776" t="s">
        <v>28</v>
      </c>
      <c r="H354" s="1776" t="s">
        <v>28</v>
      </c>
      <c r="I354" s="1776" t="s">
        <v>985</v>
      </c>
    </row>
    <row r="355" spans="1:9" ht="11.25" customHeight="1">
      <c r="A355" s="1776" t="s">
        <v>2323</v>
      </c>
      <c r="B355" s="1776" t="s">
        <v>16</v>
      </c>
      <c r="C355" s="1776" t="s">
        <v>2869</v>
      </c>
      <c r="D355" s="1776" t="s">
        <v>2870</v>
      </c>
      <c r="E355" s="1776" t="s">
        <v>2871</v>
      </c>
      <c r="F355" s="1776" t="s">
        <v>2872</v>
      </c>
      <c r="G355" s="1776" t="s">
        <v>28</v>
      </c>
      <c r="H355" s="1776" t="s">
        <v>28</v>
      </c>
      <c r="I355" s="1776" t="s">
        <v>985</v>
      </c>
    </row>
    <row r="356" spans="1:9" ht="11.25" customHeight="1">
      <c r="A356" s="1776" t="s">
        <v>2323</v>
      </c>
      <c r="B356" s="1776" t="s">
        <v>16</v>
      </c>
      <c r="C356" s="1776" t="s">
        <v>2876</v>
      </c>
      <c r="D356" s="1776" t="s">
        <v>2877</v>
      </c>
      <c r="E356" s="1776" t="s">
        <v>2878</v>
      </c>
      <c r="F356" s="1776" t="s">
        <v>2879</v>
      </c>
      <c r="G356" s="1776" t="s">
        <v>28</v>
      </c>
      <c r="H356" s="1776" t="s">
        <v>28</v>
      </c>
      <c r="I356" s="1776" t="s">
        <v>985</v>
      </c>
    </row>
    <row r="357" spans="1:9" ht="11.25" customHeight="1">
      <c r="A357" s="1776" t="s">
        <v>2323</v>
      </c>
      <c r="B357" s="1776" t="s">
        <v>16</v>
      </c>
      <c r="C357" s="1776" t="s">
        <v>2880</v>
      </c>
      <c r="D357" s="1776" t="s">
        <v>2881</v>
      </c>
      <c r="E357" s="1776" t="s">
        <v>2878</v>
      </c>
      <c r="F357" s="1776" t="s">
        <v>2882</v>
      </c>
      <c r="G357" s="1776" t="s">
        <v>2883</v>
      </c>
      <c r="H357" s="1776" t="s">
        <v>28</v>
      </c>
      <c r="I357" s="1776" t="s">
        <v>985</v>
      </c>
    </row>
    <row r="358" spans="1:9" ht="11.25" customHeight="1">
      <c r="A358" s="1776" t="s">
        <v>2323</v>
      </c>
      <c r="B358" s="1776" t="s">
        <v>16</v>
      </c>
      <c r="C358" s="1776" t="s">
        <v>2895</v>
      </c>
      <c r="D358" s="1776" t="s">
        <v>2896</v>
      </c>
      <c r="E358" s="1776" t="s">
        <v>2897</v>
      </c>
      <c r="F358" s="1776" t="s">
        <v>2898</v>
      </c>
      <c r="G358" s="1776" t="s">
        <v>28</v>
      </c>
      <c r="H358" s="1776" t="s">
        <v>28</v>
      </c>
      <c r="I358" s="1776" t="s">
        <v>985</v>
      </c>
    </row>
    <row r="359" spans="1:9" ht="11.25" customHeight="1">
      <c r="A359" s="1776" t="s">
        <v>2323</v>
      </c>
      <c r="B359" s="1776" t="s">
        <v>16</v>
      </c>
      <c r="C359" s="1776" t="s">
        <v>2371</v>
      </c>
      <c r="D359" s="1776" t="s">
        <v>2372</v>
      </c>
      <c r="E359" s="1776" t="s">
        <v>2373</v>
      </c>
      <c r="F359" s="1776" t="s">
        <v>2374</v>
      </c>
      <c r="G359" s="1776" t="s">
        <v>28</v>
      </c>
      <c r="H359" s="1776" t="s">
        <v>28</v>
      </c>
      <c r="I359" s="1776" t="s">
        <v>1697</v>
      </c>
    </row>
    <row r="360" spans="1:9" ht="11.25" customHeight="1">
      <c r="A360" s="1776" t="s">
        <v>2323</v>
      </c>
      <c r="B360" s="1776" t="s">
        <v>16</v>
      </c>
      <c r="C360" s="1776" t="s">
        <v>2919</v>
      </c>
      <c r="D360" s="1776" t="s">
        <v>2920</v>
      </c>
      <c r="E360" s="1776" t="s">
        <v>2921</v>
      </c>
      <c r="F360" s="1776" t="s">
        <v>2922</v>
      </c>
      <c r="G360" s="1776" t="s">
        <v>28</v>
      </c>
      <c r="H360" s="1776" t="s">
        <v>28</v>
      </c>
      <c r="I360" s="1776" t="s">
        <v>1697</v>
      </c>
    </row>
    <row r="361" spans="1:9" ht="11.25" customHeight="1">
      <c r="A361" s="1776" t="s">
        <v>2323</v>
      </c>
      <c r="B361" s="1776" t="s">
        <v>16</v>
      </c>
      <c r="C361" s="1776" t="s">
        <v>2399</v>
      </c>
      <c r="D361" s="1776" t="s">
        <v>2400</v>
      </c>
      <c r="E361" s="1776" t="s">
        <v>2401</v>
      </c>
      <c r="F361" s="1776" t="s">
        <v>2402</v>
      </c>
      <c r="G361" s="1776" t="s">
        <v>28</v>
      </c>
      <c r="H361" s="1776" t="s">
        <v>28</v>
      </c>
      <c r="I361" s="1776" t="s">
        <v>1697</v>
      </c>
    </row>
    <row r="362" spans="1:9" ht="11.25" customHeight="1">
      <c r="A362" s="1776" t="s">
        <v>2323</v>
      </c>
      <c r="B362" s="1776" t="s">
        <v>16</v>
      </c>
      <c r="C362" s="1776" t="s">
        <v>2417</v>
      </c>
      <c r="D362" s="1776" t="s">
        <v>2418</v>
      </c>
      <c r="E362" s="1776" t="s">
        <v>2419</v>
      </c>
      <c r="F362" s="1776" t="s">
        <v>2420</v>
      </c>
      <c r="G362" s="1776" t="s">
        <v>28</v>
      </c>
      <c r="H362" s="1776" t="s">
        <v>28</v>
      </c>
      <c r="I362" s="1776" t="s">
        <v>1697</v>
      </c>
    </row>
    <row r="363" spans="1:9" ht="11.25" customHeight="1">
      <c r="A363" s="1776" t="s">
        <v>2323</v>
      </c>
      <c r="B363" s="1776" t="s">
        <v>16</v>
      </c>
      <c r="C363" s="1776" t="s">
        <v>3156</v>
      </c>
      <c r="D363" s="1776" t="s">
        <v>3157</v>
      </c>
      <c r="E363" s="1776" t="s">
        <v>3158</v>
      </c>
      <c r="F363" s="1776" t="s">
        <v>654</v>
      </c>
      <c r="G363" s="1776" t="s">
        <v>28</v>
      </c>
      <c r="H363" s="1776" t="s">
        <v>28</v>
      </c>
      <c r="I363" s="1776" t="s">
        <v>1697</v>
      </c>
    </row>
    <row r="364" spans="1:9" ht="11.25" customHeight="1">
      <c r="A364" s="1776" t="s">
        <v>2323</v>
      </c>
      <c r="B364" s="1776" t="s">
        <v>16</v>
      </c>
      <c r="C364" s="1776" t="s">
        <v>3159</v>
      </c>
      <c r="D364" s="1776" t="s">
        <v>3160</v>
      </c>
      <c r="E364" s="1776" t="s">
        <v>3161</v>
      </c>
      <c r="F364" s="1776" t="s">
        <v>654</v>
      </c>
      <c r="G364" s="1776" t="s">
        <v>28</v>
      </c>
      <c r="H364" s="1776" t="s">
        <v>28</v>
      </c>
      <c r="I364" s="1776" t="s">
        <v>1697</v>
      </c>
    </row>
    <row r="365" spans="1:9" ht="11.25" customHeight="1">
      <c r="A365" s="1776" t="s">
        <v>2323</v>
      </c>
      <c r="B365" s="1776" t="s">
        <v>16</v>
      </c>
      <c r="C365" s="1776" t="s">
        <v>3162</v>
      </c>
      <c r="D365" s="1776" t="s">
        <v>3163</v>
      </c>
      <c r="E365" s="1776" t="s">
        <v>3164</v>
      </c>
      <c r="F365" s="1776" t="s">
        <v>654</v>
      </c>
      <c r="G365" s="1776" t="s">
        <v>28</v>
      </c>
      <c r="H365" s="1776" t="s">
        <v>28</v>
      </c>
      <c r="I365" s="1776" t="s">
        <v>1697</v>
      </c>
    </row>
    <row r="366" spans="1:9" ht="11.25" customHeight="1">
      <c r="A366" s="1776" t="s">
        <v>2323</v>
      </c>
      <c r="B366" s="1776" t="s">
        <v>16</v>
      </c>
      <c r="C366" s="1776" t="s">
        <v>3165</v>
      </c>
      <c r="D366" s="1776" t="s">
        <v>3166</v>
      </c>
      <c r="E366" s="1776" t="s">
        <v>3167</v>
      </c>
      <c r="F366" s="1776" t="s">
        <v>654</v>
      </c>
      <c r="G366" s="1776" t="s">
        <v>28</v>
      </c>
      <c r="H366" s="1776" t="s">
        <v>28</v>
      </c>
      <c r="I366" s="1776" t="s">
        <v>1697</v>
      </c>
    </row>
    <row r="367" spans="1:9" ht="11.25" customHeight="1">
      <c r="A367" s="1776" t="s">
        <v>2323</v>
      </c>
      <c r="B367" s="1776" t="s">
        <v>16</v>
      </c>
      <c r="C367" s="1776" t="s">
        <v>3168</v>
      </c>
      <c r="D367" s="1776" t="s">
        <v>3169</v>
      </c>
      <c r="E367" s="1776" t="s">
        <v>3170</v>
      </c>
      <c r="F367" s="1776" t="s">
        <v>654</v>
      </c>
      <c r="G367" s="1776" t="s">
        <v>28</v>
      </c>
      <c r="H367" s="1776" t="s">
        <v>28</v>
      </c>
      <c r="I367" s="1776" t="s">
        <v>1697</v>
      </c>
    </row>
    <row r="368" spans="1:9" ht="11.25" customHeight="1">
      <c r="A368" s="1776" t="s">
        <v>2323</v>
      </c>
      <c r="B368" s="1776" t="s">
        <v>16</v>
      </c>
      <c r="C368" s="1776" t="s">
        <v>3171</v>
      </c>
      <c r="D368" s="1776" t="s">
        <v>3172</v>
      </c>
      <c r="E368" s="1776" t="s">
        <v>3173</v>
      </c>
      <c r="F368" s="1776" t="s">
        <v>654</v>
      </c>
      <c r="G368" s="1776" t="s">
        <v>28</v>
      </c>
      <c r="H368" s="1776" t="s">
        <v>28</v>
      </c>
      <c r="I368" s="1776" t="s">
        <v>1697</v>
      </c>
    </row>
    <row r="369" spans="1:9" ht="11.25" customHeight="1">
      <c r="A369" s="1776" t="s">
        <v>2323</v>
      </c>
      <c r="B369" s="1776" t="s">
        <v>16</v>
      </c>
      <c r="C369" s="1776" t="s">
        <v>2977</v>
      </c>
      <c r="D369" s="1776" t="s">
        <v>2978</v>
      </c>
      <c r="E369" s="1776" t="s">
        <v>2979</v>
      </c>
      <c r="F369" s="1776" t="s">
        <v>2745</v>
      </c>
      <c r="G369" s="1776" t="s">
        <v>28</v>
      </c>
      <c r="H369" s="1776" t="s">
        <v>28</v>
      </c>
      <c r="I369" s="1776" t="s">
        <v>1697</v>
      </c>
    </row>
    <row r="370" spans="1:9" ht="11.25" customHeight="1">
      <c r="A370" s="1776" t="s">
        <v>2323</v>
      </c>
      <c r="B370" s="1776" t="s">
        <v>16</v>
      </c>
      <c r="C370" s="1776" t="s">
        <v>3174</v>
      </c>
      <c r="D370" s="1776" t="s">
        <v>3175</v>
      </c>
      <c r="E370" s="1776" t="s">
        <v>3176</v>
      </c>
      <c r="F370" s="1776" t="s">
        <v>2556</v>
      </c>
      <c r="G370" s="1776" t="s">
        <v>28</v>
      </c>
      <c r="H370" s="1776" t="s">
        <v>28</v>
      </c>
      <c r="I370" s="1776" t="s">
        <v>1697</v>
      </c>
    </row>
    <row r="371" spans="1:9" ht="11.25" customHeight="1">
      <c r="A371" s="1776" t="s">
        <v>2323</v>
      </c>
      <c r="B371" s="1776" t="s">
        <v>16</v>
      </c>
      <c r="C371" s="1776" t="s">
        <v>2533</v>
      </c>
      <c r="D371" s="1776" t="s">
        <v>2534</v>
      </c>
      <c r="E371" s="1776" t="s">
        <v>2535</v>
      </c>
      <c r="F371" s="1776" t="s">
        <v>2536</v>
      </c>
      <c r="G371" s="1776" t="s">
        <v>28</v>
      </c>
      <c r="H371" s="1776" t="s">
        <v>28</v>
      </c>
      <c r="I371" s="1776" t="s">
        <v>1697</v>
      </c>
    </row>
    <row r="372" spans="1:9" ht="11.25" customHeight="1">
      <c r="A372" s="1776" t="s">
        <v>2323</v>
      </c>
      <c r="B372" s="1776" t="s">
        <v>16</v>
      </c>
      <c r="C372" s="1776" t="s">
        <v>3016</v>
      </c>
      <c r="D372" s="1776" t="s">
        <v>3017</v>
      </c>
      <c r="E372" s="1776" t="s">
        <v>3018</v>
      </c>
      <c r="F372" s="1776" t="s">
        <v>3019</v>
      </c>
      <c r="G372" s="1776" t="s">
        <v>28</v>
      </c>
      <c r="H372" s="1776" t="s">
        <v>28</v>
      </c>
      <c r="I372" s="1776" t="s">
        <v>1697</v>
      </c>
    </row>
    <row r="373" spans="1:9" ht="11.25" customHeight="1">
      <c r="A373" s="1776" t="s">
        <v>2323</v>
      </c>
      <c r="B373" s="1776" t="s">
        <v>16</v>
      </c>
      <c r="C373" s="1776" t="s">
        <v>3020</v>
      </c>
      <c r="D373" s="1776" t="s">
        <v>3021</v>
      </c>
      <c r="E373" s="1776" t="s">
        <v>3022</v>
      </c>
      <c r="F373" s="1776" t="s">
        <v>2593</v>
      </c>
      <c r="G373" s="1776" t="s">
        <v>3023</v>
      </c>
      <c r="H373" s="1776" t="s">
        <v>28</v>
      </c>
      <c r="I373" s="1776" t="s">
        <v>1697</v>
      </c>
    </row>
    <row r="374" spans="1:9" ht="11.25" customHeight="1">
      <c r="A374" s="1776" t="s">
        <v>2323</v>
      </c>
      <c r="B374" s="1776" t="s">
        <v>16</v>
      </c>
      <c r="C374" s="1776" t="s">
        <v>2541</v>
      </c>
      <c r="D374" s="1776" t="s">
        <v>2542</v>
      </c>
      <c r="E374" s="1776" t="s">
        <v>2543</v>
      </c>
      <c r="F374" s="1776" t="s">
        <v>2544</v>
      </c>
      <c r="G374" s="1776" t="s">
        <v>28</v>
      </c>
      <c r="H374" s="1776" t="s">
        <v>28</v>
      </c>
      <c r="I374" s="1776" t="s">
        <v>1697</v>
      </c>
    </row>
    <row r="375" spans="1:9" ht="11.25" customHeight="1">
      <c r="A375" s="1776" t="s">
        <v>2323</v>
      </c>
      <c r="B375" s="1776" t="s">
        <v>16</v>
      </c>
      <c r="C375" s="1776" t="s">
        <v>2549</v>
      </c>
      <c r="D375" s="1776" t="s">
        <v>2550</v>
      </c>
      <c r="E375" s="1776" t="s">
        <v>2551</v>
      </c>
      <c r="F375" s="1776" t="s">
        <v>2552</v>
      </c>
      <c r="G375" s="1776" t="s">
        <v>28</v>
      </c>
      <c r="H375" s="1776" t="s">
        <v>28</v>
      </c>
      <c r="I375" s="1776" t="s">
        <v>1697</v>
      </c>
    </row>
    <row r="376" spans="1:9" ht="11.25" customHeight="1">
      <c r="A376" s="1776" t="s">
        <v>2323</v>
      </c>
      <c r="B376" s="1776" t="s">
        <v>16</v>
      </c>
      <c r="C376" s="1776" t="s">
        <v>3177</v>
      </c>
      <c r="D376" s="1776" t="s">
        <v>3178</v>
      </c>
      <c r="E376" s="1776" t="s">
        <v>3179</v>
      </c>
      <c r="F376" s="1776" t="s">
        <v>2593</v>
      </c>
      <c r="G376" s="1776" t="s">
        <v>28</v>
      </c>
      <c r="H376" s="1776" t="s">
        <v>28</v>
      </c>
      <c r="I376" s="1776" t="s">
        <v>1697</v>
      </c>
    </row>
    <row r="377" spans="1:9" ht="11.25" customHeight="1">
      <c r="A377" s="1776" t="s">
        <v>2323</v>
      </c>
      <c r="B377" s="1776" t="s">
        <v>16</v>
      </c>
      <c r="C377" s="1776" t="s">
        <v>3180</v>
      </c>
      <c r="D377" s="1776" t="s">
        <v>3181</v>
      </c>
      <c r="E377" s="1776" t="s">
        <v>3182</v>
      </c>
      <c r="F377" s="1776" t="s">
        <v>2823</v>
      </c>
      <c r="G377" s="1776" t="s">
        <v>28</v>
      </c>
      <c r="H377" s="1776" t="s">
        <v>28</v>
      </c>
      <c r="I377" s="1776" t="s">
        <v>1697</v>
      </c>
    </row>
    <row r="378" spans="1:9" ht="11.25" customHeight="1">
      <c r="A378" s="1776" t="s">
        <v>2323</v>
      </c>
      <c r="B378" s="1776" t="s">
        <v>16</v>
      </c>
      <c r="C378" s="1776" t="s">
        <v>3183</v>
      </c>
      <c r="D378" s="1776" t="s">
        <v>3184</v>
      </c>
      <c r="E378" s="1776" t="s">
        <v>3185</v>
      </c>
      <c r="F378" s="1776" t="s">
        <v>654</v>
      </c>
      <c r="G378" s="1776" t="s">
        <v>28</v>
      </c>
      <c r="H378" s="1776" t="s">
        <v>28</v>
      </c>
      <c r="I378" s="1776" t="s">
        <v>1697</v>
      </c>
    </row>
    <row r="379" spans="1:9" ht="11.25" customHeight="1">
      <c r="A379" s="1776" t="s">
        <v>2323</v>
      </c>
      <c r="B379" s="1776" t="s">
        <v>16</v>
      </c>
      <c r="C379" s="1776" t="s">
        <v>3186</v>
      </c>
      <c r="D379" s="1776" t="s">
        <v>3187</v>
      </c>
      <c r="E379" s="1776" t="s">
        <v>3188</v>
      </c>
      <c r="F379" s="1776" t="s">
        <v>2773</v>
      </c>
      <c r="G379" s="1776" t="s">
        <v>28</v>
      </c>
      <c r="H379" s="1776" t="s">
        <v>28</v>
      </c>
      <c r="I379" s="1776" t="s">
        <v>1697</v>
      </c>
    </row>
    <row r="380" spans="1:9" ht="11.25" customHeight="1">
      <c r="A380" s="1776" t="s">
        <v>2323</v>
      </c>
      <c r="B380" s="1776" t="s">
        <v>16</v>
      </c>
      <c r="C380" s="1776" t="s">
        <v>3189</v>
      </c>
      <c r="D380" s="1776" t="s">
        <v>3190</v>
      </c>
      <c r="E380" s="1776" t="s">
        <v>3191</v>
      </c>
      <c r="F380" s="1776" t="s">
        <v>2335</v>
      </c>
      <c r="G380" s="1776" t="s">
        <v>28</v>
      </c>
      <c r="H380" s="1776" t="s">
        <v>28</v>
      </c>
      <c r="I380" s="1776" t="s">
        <v>1697</v>
      </c>
    </row>
    <row r="381" spans="1:9" ht="11.25" customHeight="1">
      <c r="A381" s="1776" t="s">
        <v>2323</v>
      </c>
      <c r="B381" s="1776" t="s">
        <v>16</v>
      </c>
      <c r="C381" s="1776" t="s">
        <v>3192</v>
      </c>
      <c r="D381" s="1776" t="s">
        <v>3193</v>
      </c>
      <c r="E381" s="1776" t="s">
        <v>3194</v>
      </c>
      <c r="F381" s="1776" t="s">
        <v>2335</v>
      </c>
      <c r="G381" s="1776" t="s">
        <v>28</v>
      </c>
      <c r="H381" s="1776" t="s">
        <v>28</v>
      </c>
      <c r="I381" s="1776" t="s">
        <v>1697</v>
      </c>
    </row>
    <row r="382" spans="1:9" ht="11.25" customHeight="1">
      <c r="A382" s="1776" t="s">
        <v>2323</v>
      </c>
      <c r="B382" s="1776" t="s">
        <v>16</v>
      </c>
      <c r="C382" s="1776" t="s">
        <v>3195</v>
      </c>
      <c r="D382" s="1776" t="s">
        <v>3196</v>
      </c>
      <c r="E382" s="1776" t="s">
        <v>3197</v>
      </c>
      <c r="F382" s="1776" t="s">
        <v>3198</v>
      </c>
      <c r="G382" s="1776" t="s">
        <v>28</v>
      </c>
      <c r="H382" s="1776" t="s">
        <v>28</v>
      </c>
      <c r="I382" s="1776" t="s">
        <v>1697</v>
      </c>
    </row>
    <row r="383" spans="1:9" ht="11.25" customHeight="1">
      <c r="A383" s="1776" t="s">
        <v>2323</v>
      </c>
      <c r="B383" s="1776" t="s">
        <v>16</v>
      </c>
      <c r="C383" s="1776" t="s">
        <v>3199</v>
      </c>
      <c r="D383" s="1776" t="s">
        <v>3200</v>
      </c>
      <c r="E383" s="1776" t="s">
        <v>3201</v>
      </c>
      <c r="F383" s="1776" t="s">
        <v>3202</v>
      </c>
      <c r="G383" s="1776" t="s">
        <v>28</v>
      </c>
      <c r="H383" s="1776" t="s">
        <v>28</v>
      </c>
      <c r="I383" s="1776" t="s">
        <v>1697</v>
      </c>
    </row>
    <row r="384" spans="1:9" ht="11.25" customHeight="1">
      <c r="A384" s="1776" t="s">
        <v>2323</v>
      </c>
      <c r="B384" s="1776" t="s">
        <v>16</v>
      </c>
      <c r="C384" s="1776" t="s">
        <v>3203</v>
      </c>
      <c r="D384" s="1776" t="s">
        <v>3204</v>
      </c>
      <c r="E384" s="1776" t="s">
        <v>3205</v>
      </c>
      <c r="F384" s="1776" t="s">
        <v>2459</v>
      </c>
      <c r="G384" s="1776" t="s">
        <v>28</v>
      </c>
      <c r="H384" s="1776" t="s">
        <v>28</v>
      </c>
      <c r="I384" s="1776" t="s">
        <v>1697</v>
      </c>
    </row>
    <row r="385" spans="1:9" ht="11.25" customHeight="1">
      <c r="A385" s="1776" t="s">
        <v>2323</v>
      </c>
      <c r="B385" s="1776" t="s">
        <v>16</v>
      </c>
      <c r="C385" s="1776" t="s">
        <v>3206</v>
      </c>
      <c r="D385" s="1776" t="s">
        <v>3207</v>
      </c>
      <c r="E385" s="1776" t="s">
        <v>3208</v>
      </c>
      <c r="F385" s="1776" t="s">
        <v>2493</v>
      </c>
      <c r="G385" s="1776" t="s">
        <v>28</v>
      </c>
      <c r="H385" s="1776" t="s">
        <v>28</v>
      </c>
      <c r="I385" s="1776" t="s">
        <v>1697</v>
      </c>
    </row>
    <row r="386" spans="1:9" ht="11.25" customHeight="1">
      <c r="A386" s="1776" t="s">
        <v>2323</v>
      </c>
      <c r="B386" s="1776" t="s">
        <v>16</v>
      </c>
      <c r="C386" s="1776" t="s">
        <v>3209</v>
      </c>
      <c r="D386" s="1776" t="s">
        <v>3210</v>
      </c>
      <c r="E386" s="1776" t="s">
        <v>3211</v>
      </c>
      <c r="F386" s="1776" t="s">
        <v>2451</v>
      </c>
      <c r="G386" s="1776" t="s">
        <v>28</v>
      </c>
      <c r="H386" s="1776" t="s">
        <v>28</v>
      </c>
      <c r="I386" s="1776" t="s">
        <v>1697</v>
      </c>
    </row>
    <row r="387" spans="1:9" ht="11.25" customHeight="1">
      <c r="A387" s="1776" t="s">
        <v>2323</v>
      </c>
      <c r="B387" s="1776" t="s">
        <v>16</v>
      </c>
      <c r="C387" s="1776" t="s">
        <v>3212</v>
      </c>
      <c r="D387" s="1776" t="s">
        <v>3213</v>
      </c>
      <c r="E387" s="1776" t="s">
        <v>3214</v>
      </c>
      <c r="F387" s="1776" t="s">
        <v>2459</v>
      </c>
      <c r="G387" s="1776" t="s">
        <v>28</v>
      </c>
      <c r="H387" s="1776" t="s">
        <v>28</v>
      </c>
      <c r="I387" s="1776" t="s">
        <v>1697</v>
      </c>
    </row>
    <row r="388" spans="1:9" ht="11.25" customHeight="1">
      <c r="A388" s="1776" t="s">
        <v>2323</v>
      </c>
      <c r="B388" s="1776" t="s">
        <v>16</v>
      </c>
      <c r="C388" s="1776" t="s">
        <v>3215</v>
      </c>
      <c r="D388" s="1776" t="s">
        <v>3216</v>
      </c>
      <c r="E388" s="1776" t="s">
        <v>3217</v>
      </c>
      <c r="F388" s="1776" t="s">
        <v>2975</v>
      </c>
      <c r="G388" s="1776" t="s">
        <v>28</v>
      </c>
      <c r="H388" s="1776" t="s">
        <v>28</v>
      </c>
      <c r="I388" s="1776" t="s">
        <v>1697</v>
      </c>
    </row>
    <row r="389" spans="1:9" ht="11.25" customHeight="1">
      <c r="A389" s="1776" t="s">
        <v>2323</v>
      </c>
      <c r="B389" s="1776" t="s">
        <v>16</v>
      </c>
      <c r="C389" s="1776" t="s">
        <v>3218</v>
      </c>
      <c r="D389" s="1776" t="s">
        <v>3219</v>
      </c>
      <c r="E389" s="1776" t="s">
        <v>3220</v>
      </c>
      <c r="F389" s="1776" t="s">
        <v>2365</v>
      </c>
      <c r="G389" s="1776" t="s">
        <v>28</v>
      </c>
      <c r="H389" s="1776" t="s">
        <v>28</v>
      </c>
      <c r="I389" s="1776" t="s">
        <v>1697</v>
      </c>
    </row>
    <row r="390" spans="1:9" ht="11.25" customHeight="1">
      <c r="A390" s="1776" t="s">
        <v>2323</v>
      </c>
      <c r="B390" s="1776" t="s">
        <v>16</v>
      </c>
      <c r="C390" s="1776" t="s">
        <v>3221</v>
      </c>
      <c r="D390" s="1776" t="s">
        <v>3222</v>
      </c>
      <c r="E390" s="1776" t="s">
        <v>3182</v>
      </c>
      <c r="F390" s="1776" t="s">
        <v>3223</v>
      </c>
      <c r="G390" s="1776" t="s">
        <v>3224</v>
      </c>
      <c r="H390" s="1776" t="s">
        <v>28</v>
      </c>
      <c r="I390" s="1776" t="s">
        <v>1697</v>
      </c>
    </row>
    <row r="391" spans="1:9" ht="11.25" customHeight="1">
      <c r="A391" s="1776" t="s">
        <v>2323</v>
      </c>
      <c r="B391" s="1776" t="s">
        <v>16</v>
      </c>
      <c r="C391" s="1776" t="s">
        <v>3225</v>
      </c>
      <c r="D391" s="1776" t="s">
        <v>3226</v>
      </c>
      <c r="E391" s="1776" t="s">
        <v>3227</v>
      </c>
      <c r="F391" s="1776" t="s">
        <v>3198</v>
      </c>
      <c r="G391" s="1776" t="s">
        <v>28</v>
      </c>
      <c r="H391" s="1776" t="s">
        <v>28</v>
      </c>
      <c r="I391" s="1776" t="s">
        <v>1697</v>
      </c>
    </row>
    <row r="392" spans="1:9" ht="11.25" customHeight="1">
      <c r="A392" s="1776" t="s">
        <v>2323</v>
      </c>
      <c r="B392" s="1776" t="s">
        <v>16</v>
      </c>
      <c r="C392" s="1776" t="s">
        <v>3228</v>
      </c>
      <c r="D392" s="1776" t="s">
        <v>3229</v>
      </c>
      <c r="E392" s="1776" t="s">
        <v>3230</v>
      </c>
      <c r="F392" s="1776" t="s">
        <v>3202</v>
      </c>
      <c r="G392" s="1776" t="s">
        <v>28</v>
      </c>
      <c r="H392" s="1776" t="s">
        <v>28</v>
      </c>
      <c r="I392" s="1776" t="s">
        <v>1697</v>
      </c>
    </row>
    <row r="393" spans="1:9" ht="11.25" customHeight="1">
      <c r="A393" s="1776" t="s">
        <v>2323</v>
      </c>
      <c r="B393" s="1776" t="s">
        <v>16</v>
      </c>
      <c r="C393" s="1776" t="s">
        <v>3231</v>
      </c>
      <c r="D393" s="1776" t="s">
        <v>3232</v>
      </c>
      <c r="E393" s="1776" t="s">
        <v>3233</v>
      </c>
      <c r="F393" s="1776" t="s">
        <v>2395</v>
      </c>
      <c r="G393" s="1776" t="s">
        <v>28</v>
      </c>
      <c r="H393" s="1776" t="s">
        <v>28</v>
      </c>
      <c r="I393" s="1776" t="s">
        <v>1697</v>
      </c>
    </row>
    <row r="394" spans="1:9" ht="11.25" customHeight="1">
      <c r="A394" s="1776" t="s">
        <v>2323</v>
      </c>
      <c r="B394" s="1776" t="s">
        <v>16</v>
      </c>
      <c r="C394" s="1776" t="s">
        <v>3234</v>
      </c>
      <c r="D394" s="1776" t="s">
        <v>3235</v>
      </c>
      <c r="E394" s="1776" t="s">
        <v>3236</v>
      </c>
      <c r="F394" s="1776" t="s">
        <v>2577</v>
      </c>
      <c r="G394" s="1776" t="s">
        <v>28</v>
      </c>
      <c r="H394" s="1776" t="s">
        <v>28</v>
      </c>
      <c r="I394" s="1776" t="s">
        <v>1697</v>
      </c>
    </row>
    <row r="395" spans="1:9" ht="11.25" customHeight="1">
      <c r="A395" s="1776" t="s">
        <v>2323</v>
      </c>
      <c r="B395" s="1776" t="s">
        <v>16</v>
      </c>
      <c r="C395" s="1776" t="s">
        <v>3237</v>
      </c>
      <c r="D395" s="1776" t="s">
        <v>3238</v>
      </c>
      <c r="E395" s="1776" t="s">
        <v>3239</v>
      </c>
      <c r="F395" s="1776" t="s">
        <v>2794</v>
      </c>
      <c r="G395" s="1776" t="s">
        <v>28</v>
      </c>
      <c r="H395" s="1776" t="s">
        <v>28</v>
      </c>
      <c r="I395" s="1776" t="s">
        <v>1697</v>
      </c>
    </row>
    <row r="396" spans="1:9" ht="11.25" customHeight="1">
      <c r="A396" s="1776" t="s">
        <v>2323</v>
      </c>
      <c r="B396" s="1776" t="s">
        <v>16</v>
      </c>
      <c r="C396" s="1776" t="s">
        <v>3240</v>
      </c>
      <c r="D396" s="1776" t="s">
        <v>3241</v>
      </c>
      <c r="E396" s="1776" t="s">
        <v>3242</v>
      </c>
      <c r="F396" s="1776" t="s">
        <v>2391</v>
      </c>
      <c r="G396" s="1776" t="s">
        <v>3243</v>
      </c>
      <c r="H396" s="1776" t="s">
        <v>28</v>
      </c>
      <c r="I396" s="1776" t="s">
        <v>1697</v>
      </c>
    </row>
    <row r="397" spans="1:9" ht="11.25" customHeight="1">
      <c r="A397" s="1776" t="s">
        <v>2323</v>
      </c>
      <c r="B397" s="1776" t="s">
        <v>16</v>
      </c>
      <c r="C397" s="1776" t="s">
        <v>3244</v>
      </c>
      <c r="D397" s="1776" t="s">
        <v>3245</v>
      </c>
      <c r="E397" s="1776" t="s">
        <v>3246</v>
      </c>
      <c r="F397" s="1776" t="s">
        <v>2975</v>
      </c>
      <c r="G397" s="1776" t="s">
        <v>28</v>
      </c>
      <c r="H397" s="1776" t="s">
        <v>28</v>
      </c>
      <c r="I397" s="1776" t="s">
        <v>1697</v>
      </c>
    </row>
    <row r="398" spans="1:9" ht="11.25" customHeight="1">
      <c r="A398" s="1776" t="s">
        <v>2323</v>
      </c>
      <c r="B398" s="1776" t="s">
        <v>16</v>
      </c>
      <c r="C398" s="1776" t="s">
        <v>3247</v>
      </c>
      <c r="D398" s="1776" t="s">
        <v>3245</v>
      </c>
      <c r="E398" s="1776" t="s">
        <v>3248</v>
      </c>
      <c r="F398" s="1776" t="s">
        <v>2443</v>
      </c>
      <c r="G398" s="1776" t="s">
        <v>3249</v>
      </c>
      <c r="H398" s="1776" t="s">
        <v>28</v>
      </c>
      <c r="I398" s="1776" t="s">
        <v>1697</v>
      </c>
    </row>
    <row r="399" spans="1:9" ht="11.25" customHeight="1">
      <c r="A399" s="1776" t="s">
        <v>2323</v>
      </c>
      <c r="B399" s="1776" t="s">
        <v>16</v>
      </c>
      <c r="C399" s="1776" t="s">
        <v>2801</v>
      </c>
      <c r="D399" s="1776" t="s">
        <v>2802</v>
      </c>
      <c r="E399" s="1776" t="s">
        <v>2803</v>
      </c>
      <c r="F399" s="1776" t="s">
        <v>2804</v>
      </c>
      <c r="G399" s="1776" t="s">
        <v>28</v>
      </c>
      <c r="H399" s="1776" t="s">
        <v>28</v>
      </c>
      <c r="I399" s="1776" t="s">
        <v>1697</v>
      </c>
    </row>
    <row r="400" spans="1:9" ht="11.25" customHeight="1">
      <c r="A400" s="1776" t="s">
        <v>2323</v>
      </c>
      <c r="B400" s="1776" t="s">
        <v>16</v>
      </c>
      <c r="C400" s="1776" t="s">
        <v>3250</v>
      </c>
      <c r="D400" s="1776" t="s">
        <v>3251</v>
      </c>
      <c r="E400" s="1776" t="s">
        <v>3252</v>
      </c>
      <c r="F400" s="1776" t="s">
        <v>2443</v>
      </c>
      <c r="G400" s="1776" t="s">
        <v>28</v>
      </c>
      <c r="H400" s="1776" t="s">
        <v>28</v>
      </c>
      <c r="I400" s="1776" t="s">
        <v>1697</v>
      </c>
    </row>
    <row r="401" spans="1:9" ht="11.25" customHeight="1">
      <c r="A401" s="1776" t="s">
        <v>2323</v>
      </c>
      <c r="B401" s="1776" t="s">
        <v>16</v>
      </c>
      <c r="C401" s="1776" t="s">
        <v>3253</v>
      </c>
      <c r="D401" s="1776" t="s">
        <v>3254</v>
      </c>
      <c r="E401" s="1776" t="s">
        <v>3255</v>
      </c>
      <c r="F401" s="1776" t="s">
        <v>2413</v>
      </c>
      <c r="G401" s="1776" t="s">
        <v>3256</v>
      </c>
      <c r="H401" s="1776" t="s">
        <v>28</v>
      </c>
      <c r="I401" s="1776" t="s">
        <v>1697</v>
      </c>
    </row>
    <row r="402" spans="1:9" ht="11.25" customHeight="1">
      <c r="A402" s="1776" t="s">
        <v>2323</v>
      </c>
      <c r="B402" s="1776" t="s">
        <v>16</v>
      </c>
      <c r="C402" s="1776" t="s">
        <v>3257</v>
      </c>
      <c r="D402" s="1776" t="s">
        <v>3258</v>
      </c>
      <c r="E402" s="1776" t="s">
        <v>3259</v>
      </c>
      <c r="F402" s="1776" t="s">
        <v>2413</v>
      </c>
      <c r="G402" s="1776" t="s">
        <v>28</v>
      </c>
      <c r="H402" s="1776" t="s">
        <v>28</v>
      </c>
      <c r="I402" s="1776" t="s">
        <v>1697</v>
      </c>
    </row>
    <row r="403" spans="1:9" ht="11.25" customHeight="1">
      <c r="A403" s="1776" t="s">
        <v>2323</v>
      </c>
      <c r="B403" s="1776" t="s">
        <v>16</v>
      </c>
      <c r="C403" s="1776" t="s">
        <v>3260</v>
      </c>
      <c r="D403" s="1776" t="s">
        <v>3261</v>
      </c>
      <c r="E403" s="1776" t="s">
        <v>3262</v>
      </c>
      <c r="F403" s="1776" t="s">
        <v>2395</v>
      </c>
      <c r="G403" s="1776" t="s">
        <v>28</v>
      </c>
      <c r="H403" s="1776" t="s">
        <v>28</v>
      </c>
      <c r="I403" s="1776" t="s">
        <v>1697</v>
      </c>
    </row>
    <row r="404" spans="1:9" ht="11.25" customHeight="1">
      <c r="A404" s="1776" t="s">
        <v>2323</v>
      </c>
      <c r="B404" s="1776" t="s">
        <v>16</v>
      </c>
      <c r="C404" s="1776" t="s">
        <v>3263</v>
      </c>
      <c r="D404" s="1776" t="s">
        <v>3264</v>
      </c>
      <c r="E404" s="1776" t="s">
        <v>3265</v>
      </c>
      <c r="F404" s="1776" t="s">
        <v>3223</v>
      </c>
      <c r="G404" s="1776" t="s">
        <v>28</v>
      </c>
      <c r="H404" s="1776" t="s">
        <v>28</v>
      </c>
      <c r="I404" s="1776" t="s">
        <v>1697</v>
      </c>
    </row>
    <row r="405" spans="1:9" ht="11.25" customHeight="1">
      <c r="A405" s="1776" t="s">
        <v>2323</v>
      </c>
      <c r="B405" s="1776" t="s">
        <v>16</v>
      </c>
      <c r="C405" s="1776" t="s">
        <v>3266</v>
      </c>
      <c r="D405" s="1776" t="s">
        <v>3267</v>
      </c>
      <c r="E405" s="1776" t="s">
        <v>3268</v>
      </c>
      <c r="F405" s="1776" t="s">
        <v>2589</v>
      </c>
      <c r="G405" s="1776" t="s">
        <v>28</v>
      </c>
      <c r="H405" s="1776" t="s">
        <v>28</v>
      </c>
      <c r="I405" s="1776" t="s">
        <v>1697</v>
      </c>
    </row>
    <row r="406" spans="1:9" ht="11.25" customHeight="1">
      <c r="A406" s="1776" t="s">
        <v>2323</v>
      </c>
      <c r="B406" s="1776" t="s">
        <v>16</v>
      </c>
      <c r="C406" s="1776" t="s">
        <v>3269</v>
      </c>
      <c r="D406" s="1776" t="s">
        <v>3270</v>
      </c>
      <c r="E406" s="1776" t="s">
        <v>3271</v>
      </c>
      <c r="F406" s="1776" t="s">
        <v>2773</v>
      </c>
      <c r="G406" s="1776" t="s">
        <v>3272</v>
      </c>
      <c r="H406" s="1776" t="s">
        <v>28</v>
      </c>
      <c r="I406" s="1776" t="s">
        <v>1697</v>
      </c>
    </row>
    <row r="407" spans="1:9" ht="11.25" customHeight="1">
      <c r="A407" s="1776" t="s">
        <v>2323</v>
      </c>
      <c r="B407" s="1776" t="s">
        <v>16</v>
      </c>
      <c r="C407" s="1776" t="s">
        <v>3273</v>
      </c>
      <c r="D407" s="1776" t="s">
        <v>3274</v>
      </c>
      <c r="E407" s="1776" t="s">
        <v>3275</v>
      </c>
      <c r="F407" s="1776" t="s">
        <v>2887</v>
      </c>
      <c r="G407" s="1776" t="s">
        <v>28</v>
      </c>
      <c r="H407" s="1776" t="s">
        <v>28</v>
      </c>
      <c r="I407" s="1776" t="s">
        <v>1697</v>
      </c>
    </row>
    <row r="408" spans="1:9" ht="11.25" customHeight="1">
      <c r="A408" s="1776" t="s">
        <v>2323</v>
      </c>
      <c r="B408" s="1776" t="s">
        <v>16</v>
      </c>
      <c r="C408" s="1776" t="s">
        <v>3276</v>
      </c>
      <c r="D408" s="1776" t="s">
        <v>3277</v>
      </c>
      <c r="E408" s="1776" t="s">
        <v>3278</v>
      </c>
      <c r="F408" s="1776" t="s">
        <v>2515</v>
      </c>
      <c r="G408" s="1776" t="s">
        <v>28</v>
      </c>
      <c r="H408" s="1776" t="s">
        <v>28</v>
      </c>
      <c r="I408" s="1776" t="s">
        <v>1697</v>
      </c>
    </row>
    <row r="409" spans="1:9" ht="11.25" customHeight="1">
      <c r="A409" s="1776" t="s">
        <v>2323</v>
      </c>
      <c r="B409" s="1776" t="s">
        <v>16</v>
      </c>
      <c r="C409" s="1776" t="s">
        <v>3279</v>
      </c>
      <c r="D409" s="1776" t="s">
        <v>3280</v>
      </c>
      <c r="E409" s="1776" t="s">
        <v>3281</v>
      </c>
      <c r="F409" s="1776" t="s">
        <v>2447</v>
      </c>
      <c r="G409" s="1776" t="s">
        <v>28</v>
      </c>
      <c r="H409" s="1776" t="s">
        <v>28</v>
      </c>
      <c r="I409" s="1776" t="s">
        <v>1697</v>
      </c>
    </row>
    <row r="410" spans="1:9" ht="11.25" customHeight="1">
      <c r="A410" s="1776" t="s">
        <v>2323</v>
      </c>
      <c r="B410" s="1776" t="s">
        <v>16</v>
      </c>
      <c r="C410" s="1776" t="s">
        <v>3282</v>
      </c>
      <c r="D410" s="1776" t="s">
        <v>3283</v>
      </c>
      <c r="E410" s="1776" t="s">
        <v>3284</v>
      </c>
      <c r="F410" s="1776" t="s">
        <v>2597</v>
      </c>
      <c r="G410" s="1776" t="s">
        <v>28</v>
      </c>
      <c r="H410" s="1776" t="s">
        <v>28</v>
      </c>
      <c r="I410" s="1776" t="s">
        <v>1697</v>
      </c>
    </row>
    <row r="411" spans="1:9" ht="11.25" customHeight="1">
      <c r="A411" s="1776" t="s">
        <v>2323</v>
      </c>
      <c r="B411" s="1776" t="s">
        <v>16</v>
      </c>
      <c r="C411" s="1776" t="s">
        <v>3285</v>
      </c>
      <c r="D411" s="1776" t="s">
        <v>3286</v>
      </c>
      <c r="E411" s="1776" t="s">
        <v>3287</v>
      </c>
      <c r="F411" s="1776" t="s">
        <v>2365</v>
      </c>
      <c r="G411" s="1776" t="s">
        <v>28</v>
      </c>
      <c r="H411" s="1776" t="s">
        <v>28</v>
      </c>
      <c r="I411" s="1776" t="s">
        <v>1697</v>
      </c>
    </row>
    <row r="412" spans="1:9" ht="11.25" customHeight="1">
      <c r="A412" s="1776" t="s">
        <v>2323</v>
      </c>
      <c r="B412" s="1776" t="s">
        <v>16</v>
      </c>
      <c r="C412" s="1776" t="s">
        <v>3288</v>
      </c>
      <c r="D412" s="1776" t="s">
        <v>3289</v>
      </c>
      <c r="E412" s="1776" t="s">
        <v>3290</v>
      </c>
      <c r="F412" s="1776" t="s">
        <v>2365</v>
      </c>
      <c r="G412" s="1776" t="s">
        <v>28</v>
      </c>
      <c r="H412" s="1776" t="s">
        <v>28</v>
      </c>
      <c r="I412" s="1776" t="s">
        <v>1697</v>
      </c>
    </row>
    <row r="413" spans="1:9" ht="11.25" customHeight="1">
      <c r="A413" s="1776" t="s">
        <v>2323</v>
      </c>
      <c r="B413" s="1776" t="s">
        <v>16</v>
      </c>
      <c r="C413" s="1776" t="s">
        <v>3291</v>
      </c>
      <c r="D413" s="1776" t="s">
        <v>3292</v>
      </c>
      <c r="E413" s="1776" t="s">
        <v>3293</v>
      </c>
      <c r="F413" s="1776" t="s">
        <v>2570</v>
      </c>
      <c r="G413" s="1776" t="s">
        <v>28</v>
      </c>
      <c r="H413" s="1776" t="s">
        <v>28</v>
      </c>
      <c r="I413" s="1776" t="s">
        <v>1697</v>
      </c>
    </row>
    <row r="414" spans="1:9" ht="11.25" customHeight="1">
      <c r="A414" s="1776" t="s">
        <v>2323</v>
      </c>
      <c r="B414" s="1776" t="s">
        <v>16</v>
      </c>
      <c r="C414" s="1776" t="s">
        <v>3294</v>
      </c>
      <c r="D414" s="1776" t="s">
        <v>3295</v>
      </c>
      <c r="E414" s="1776" t="s">
        <v>3296</v>
      </c>
      <c r="F414" s="1776" t="s">
        <v>2451</v>
      </c>
      <c r="G414" s="1776" t="s">
        <v>28</v>
      </c>
      <c r="H414" s="1776" t="s">
        <v>28</v>
      </c>
      <c r="I414" s="1776" t="s">
        <v>1697</v>
      </c>
    </row>
    <row r="415" spans="1:9" ht="11.25" customHeight="1">
      <c r="A415" s="1776" t="s">
        <v>2323</v>
      </c>
      <c r="B415" s="1776" t="s">
        <v>16</v>
      </c>
      <c r="C415" s="1776" t="s">
        <v>28</v>
      </c>
      <c r="D415" s="1776" t="s">
        <v>2845</v>
      </c>
      <c r="E415" s="1776" t="s">
        <v>2846</v>
      </c>
      <c r="F415" s="1776" t="s">
        <v>2589</v>
      </c>
      <c r="G415" s="1776" t="s">
        <v>28</v>
      </c>
      <c r="H415" s="1776" t="s">
        <v>28</v>
      </c>
      <c r="I415" s="1776" t="s">
        <v>1697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1776"/>
  </cols>
  <sheetData>
    <row r="1" spans="1:7" ht="11.25" customHeight="1">
      <c r="A1" s="310" t="s">
        <v>3297</v>
      </c>
      <c r="B1" s="3" t="s">
        <v>3298</v>
      </c>
      <c r="C1" s="3" t="s">
        <v>3299</v>
      </c>
      <c r="D1" s="3" t="s">
        <v>3300</v>
      </c>
      <c r="E1" t="s">
        <v>3301</v>
      </c>
      <c r="F1" t="s">
        <v>3302</v>
      </c>
      <c r="G1" t="s">
        <v>3303</v>
      </c>
    </row>
    <row r="2" spans="1:7" ht="11.25" customHeight="1">
      <c r="A2" s="310" t="s">
        <v>16</v>
      </c>
      <c r="B2" t="s">
        <v>152</v>
      </c>
      <c r="C2" t="s">
        <v>3304</v>
      </c>
      <c r="D2" t="s">
        <v>152</v>
      </c>
      <c r="E2" t="s">
        <v>3304</v>
      </c>
      <c r="F2" t="s">
        <v>3305</v>
      </c>
      <c r="G2" t="s">
        <v>177</v>
      </c>
    </row>
    <row r="3" spans="1:7" ht="11.25" customHeight="1">
      <c r="A3" s="310" t="s">
        <v>16</v>
      </c>
      <c r="B3" t="s">
        <v>152</v>
      </c>
      <c r="C3" t="s">
        <v>3304</v>
      </c>
      <c r="D3" t="s">
        <v>3306</v>
      </c>
      <c r="E3" t="s">
        <v>3307</v>
      </c>
      <c r="F3" t="s">
        <v>3308</v>
      </c>
      <c r="G3" t="s">
        <v>102</v>
      </c>
    </row>
    <row r="4" spans="1:7" ht="11.25" customHeight="1">
      <c r="A4" s="310" t="s">
        <v>16</v>
      </c>
      <c r="B4" t="s">
        <v>152</v>
      </c>
      <c r="C4" t="s">
        <v>3304</v>
      </c>
      <c r="D4" t="s">
        <v>3309</v>
      </c>
      <c r="E4" t="s">
        <v>3310</v>
      </c>
      <c r="F4" t="s">
        <v>3308</v>
      </c>
      <c r="G4" t="s">
        <v>90</v>
      </c>
    </row>
    <row r="5" spans="1:7" ht="11.25" customHeight="1">
      <c r="A5" s="310" t="s">
        <v>16</v>
      </c>
      <c r="B5" t="s">
        <v>152</v>
      </c>
      <c r="C5" t="s">
        <v>3304</v>
      </c>
      <c r="D5" t="s">
        <v>3311</v>
      </c>
      <c r="E5" t="s">
        <v>3312</v>
      </c>
      <c r="F5" t="s">
        <v>3308</v>
      </c>
      <c r="G5" t="s">
        <v>91</v>
      </c>
    </row>
    <row r="6" spans="1:7" ht="11.25" customHeight="1">
      <c r="A6" s="310" t="s">
        <v>16</v>
      </c>
      <c r="B6" t="s">
        <v>152</v>
      </c>
      <c r="C6" t="s">
        <v>3304</v>
      </c>
      <c r="D6" t="s">
        <v>3313</v>
      </c>
      <c r="E6" t="s">
        <v>3314</v>
      </c>
      <c r="F6" t="s">
        <v>3308</v>
      </c>
      <c r="G6" t="s">
        <v>127</v>
      </c>
    </row>
    <row r="7" spans="1:7" ht="11.25" customHeight="1">
      <c r="A7" s="310" t="s">
        <v>16</v>
      </c>
      <c r="B7" t="s">
        <v>152</v>
      </c>
      <c r="C7" t="s">
        <v>3304</v>
      </c>
      <c r="D7" t="s">
        <v>153</v>
      </c>
      <c r="E7" t="s">
        <v>154</v>
      </c>
      <c r="F7" t="s">
        <v>3308</v>
      </c>
      <c r="G7" t="s">
        <v>92</v>
      </c>
    </row>
    <row r="8" spans="1:7" ht="11.25" customHeight="1">
      <c r="A8" s="310" t="s">
        <v>16</v>
      </c>
      <c r="B8" t="s">
        <v>152</v>
      </c>
      <c r="C8" t="s">
        <v>3304</v>
      </c>
      <c r="D8" t="s">
        <v>3315</v>
      </c>
      <c r="E8" t="s">
        <v>3316</v>
      </c>
      <c r="F8" t="s">
        <v>3308</v>
      </c>
      <c r="G8" t="s">
        <v>93</v>
      </c>
    </row>
    <row r="9" spans="1:7" ht="11.25" customHeight="1">
      <c r="A9" s="310" t="s">
        <v>16</v>
      </c>
      <c r="B9" t="s">
        <v>152</v>
      </c>
      <c r="C9" t="s">
        <v>3304</v>
      </c>
      <c r="D9" t="s">
        <v>3317</v>
      </c>
      <c r="E9" t="s">
        <v>3318</v>
      </c>
      <c r="F9" t="s">
        <v>3308</v>
      </c>
      <c r="G9" t="s">
        <v>178</v>
      </c>
    </row>
    <row r="10" spans="1:7" ht="11.25" customHeight="1">
      <c r="A10" s="310" t="s">
        <v>16</v>
      </c>
      <c r="B10" t="s">
        <v>152</v>
      </c>
      <c r="C10" t="s">
        <v>3304</v>
      </c>
      <c r="D10" t="s">
        <v>3319</v>
      </c>
      <c r="E10" t="s">
        <v>3320</v>
      </c>
      <c r="F10" t="s">
        <v>3308</v>
      </c>
      <c r="G10" t="s">
        <v>214</v>
      </c>
    </row>
    <row r="11" spans="1:7" ht="11.25" customHeight="1">
      <c r="A11" s="310" t="s">
        <v>16</v>
      </c>
      <c r="B11" t="s">
        <v>152</v>
      </c>
      <c r="C11" t="s">
        <v>3304</v>
      </c>
      <c r="D11" t="s">
        <v>3321</v>
      </c>
      <c r="E11" t="s">
        <v>3322</v>
      </c>
      <c r="F11" t="s">
        <v>3308</v>
      </c>
      <c r="G11" t="s">
        <v>215</v>
      </c>
    </row>
    <row r="12" spans="1:7" ht="11.25" customHeight="1">
      <c r="A12" s="310" t="s">
        <v>16</v>
      </c>
      <c r="B12" t="s">
        <v>152</v>
      </c>
      <c r="C12" t="s">
        <v>3304</v>
      </c>
      <c r="D12" t="s">
        <v>3323</v>
      </c>
      <c r="E12" t="s">
        <v>3324</v>
      </c>
      <c r="F12" t="s">
        <v>3308</v>
      </c>
      <c r="G12" t="s">
        <v>216</v>
      </c>
    </row>
    <row r="13" spans="1:7" ht="11.25" customHeight="1">
      <c r="A13" s="310" t="s">
        <v>16</v>
      </c>
      <c r="B13" t="s">
        <v>152</v>
      </c>
      <c r="C13" t="s">
        <v>3304</v>
      </c>
      <c r="D13" t="s">
        <v>3325</v>
      </c>
      <c r="E13" t="s">
        <v>3326</v>
      </c>
      <c r="F13" t="s">
        <v>3308</v>
      </c>
      <c r="G13" t="s">
        <v>217</v>
      </c>
    </row>
    <row r="14" spans="1:7" ht="11.25" customHeight="1">
      <c r="A14" s="310" t="s">
        <v>16</v>
      </c>
      <c r="B14" t="s">
        <v>152</v>
      </c>
      <c r="C14" t="s">
        <v>3304</v>
      </c>
      <c r="D14" t="s">
        <v>3327</v>
      </c>
      <c r="E14" t="s">
        <v>3328</v>
      </c>
      <c r="F14" t="s">
        <v>3308</v>
      </c>
      <c r="G14" t="s">
        <v>218</v>
      </c>
    </row>
    <row r="15" spans="1:7" ht="11.25" customHeight="1">
      <c r="A15" s="310" t="s">
        <v>16</v>
      </c>
      <c r="B15" t="s">
        <v>152</v>
      </c>
      <c r="C15" t="s">
        <v>3304</v>
      </c>
      <c r="D15" t="s">
        <v>3329</v>
      </c>
      <c r="E15" t="s">
        <v>3330</v>
      </c>
      <c r="F15" t="s">
        <v>3308</v>
      </c>
      <c r="G15" t="s">
        <v>219</v>
      </c>
    </row>
    <row r="16" spans="1:7" ht="11.25" customHeight="1">
      <c r="A16" s="310" t="s">
        <v>16</v>
      </c>
      <c r="B16" t="s">
        <v>152</v>
      </c>
      <c r="C16" t="s">
        <v>3304</v>
      </c>
      <c r="D16" t="s">
        <v>3331</v>
      </c>
      <c r="E16" t="s">
        <v>3332</v>
      </c>
      <c r="F16" t="s">
        <v>3308</v>
      </c>
      <c r="G16" t="s">
        <v>1540</v>
      </c>
    </row>
    <row r="17" spans="1:7" ht="11.25" customHeight="1">
      <c r="A17" s="310" t="s">
        <v>16</v>
      </c>
      <c r="B17" t="s">
        <v>152</v>
      </c>
      <c r="C17" t="s">
        <v>3304</v>
      </c>
      <c r="D17" t="s">
        <v>3333</v>
      </c>
      <c r="E17" t="s">
        <v>3334</v>
      </c>
      <c r="F17" t="s">
        <v>3308</v>
      </c>
      <c r="G17" t="s">
        <v>1546</v>
      </c>
    </row>
    <row r="18" spans="1:7" ht="11.25" customHeight="1">
      <c r="A18" s="310" t="s">
        <v>16</v>
      </c>
      <c r="B18" t="s">
        <v>152</v>
      </c>
      <c r="C18" t="s">
        <v>3304</v>
      </c>
      <c r="D18" t="s">
        <v>3335</v>
      </c>
      <c r="E18" t="s">
        <v>3336</v>
      </c>
      <c r="F18" t="s">
        <v>3308</v>
      </c>
      <c r="G18" t="s">
        <v>1558</v>
      </c>
    </row>
    <row r="19" spans="1:7" ht="11.25" customHeight="1">
      <c r="A19" s="310" t="s">
        <v>16</v>
      </c>
      <c r="B19" t="s">
        <v>152</v>
      </c>
      <c r="C19" t="s">
        <v>3304</v>
      </c>
      <c r="D19" t="s">
        <v>3337</v>
      </c>
      <c r="E19" t="s">
        <v>3338</v>
      </c>
      <c r="F19" t="s">
        <v>3308</v>
      </c>
      <c r="G19" t="s">
        <v>1572</v>
      </c>
    </row>
    <row r="20" spans="1:7" ht="11.25" customHeight="1">
      <c r="A20" s="310" t="s">
        <v>16</v>
      </c>
      <c r="B20" t="s">
        <v>152</v>
      </c>
      <c r="C20" t="s">
        <v>3304</v>
      </c>
      <c r="D20" t="s">
        <v>3339</v>
      </c>
      <c r="E20" t="s">
        <v>3340</v>
      </c>
      <c r="F20" t="s">
        <v>3308</v>
      </c>
      <c r="G20" t="s">
        <v>1584</v>
      </c>
    </row>
    <row r="21" spans="1:7" ht="11.25" customHeight="1">
      <c r="A21" s="310" t="s">
        <v>16</v>
      </c>
      <c r="B21" t="s">
        <v>3341</v>
      </c>
      <c r="C21" t="s">
        <v>3342</v>
      </c>
      <c r="D21" t="s">
        <v>3341</v>
      </c>
      <c r="E21" t="s">
        <v>3342</v>
      </c>
      <c r="F21" t="s">
        <v>3305</v>
      </c>
      <c r="G21" t="s">
        <v>1593</v>
      </c>
    </row>
    <row r="22" spans="1:7" ht="11.25" customHeight="1">
      <c r="A22" s="310" t="s">
        <v>16</v>
      </c>
      <c r="B22" t="s">
        <v>3341</v>
      </c>
      <c r="C22" t="s">
        <v>3342</v>
      </c>
      <c r="D22" t="s">
        <v>3343</v>
      </c>
      <c r="E22" t="s">
        <v>3344</v>
      </c>
      <c r="F22" t="s">
        <v>3345</v>
      </c>
      <c r="G22" t="s">
        <v>1609</v>
      </c>
    </row>
    <row r="23" spans="1:7" ht="11.25" customHeight="1">
      <c r="A23" s="310" t="s">
        <v>16</v>
      </c>
      <c r="B23" t="s">
        <v>3341</v>
      </c>
      <c r="C23" t="s">
        <v>3342</v>
      </c>
      <c r="D23" t="s">
        <v>3346</v>
      </c>
      <c r="E23" t="s">
        <v>3347</v>
      </c>
      <c r="F23" t="s">
        <v>3308</v>
      </c>
      <c r="G23" t="s">
        <v>1616</v>
      </c>
    </row>
    <row r="24" spans="1:7" ht="11.25" customHeight="1">
      <c r="A24" s="310" t="s">
        <v>16</v>
      </c>
      <c r="B24" t="s">
        <v>3341</v>
      </c>
      <c r="C24" t="s">
        <v>3342</v>
      </c>
      <c r="D24" t="s">
        <v>3348</v>
      </c>
      <c r="E24" t="s">
        <v>3349</v>
      </c>
      <c r="F24" t="s">
        <v>3308</v>
      </c>
      <c r="G24" t="s">
        <v>1624</v>
      </c>
    </row>
    <row r="25" spans="1:7" ht="11.25" customHeight="1">
      <c r="A25" s="310" t="s">
        <v>16</v>
      </c>
      <c r="B25" t="s">
        <v>3341</v>
      </c>
      <c r="C25" t="s">
        <v>3342</v>
      </c>
      <c r="D25" t="s">
        <v>3350</v>
      </c>
      <c r="E25" t="s">
        <v>3351</v>
      </c>
      <c r="F25" t="s">
        <v>3308</v>
      </c>
      <c r="G25" t="s">
        <v>1631</v>
      </c>
    </row>
    <row r="26" spans="1:7" ht="11.25" customHeight="1">
      <c r="A26" s="310" t="s">
        <v>16</v>
      </c>
      <c r="B26" t="s">
        <v>3341</v>
      </c>
      <c r="C26" t="s">
        <v>3342</v>
      </c>
      <c r="D26" t="s">
        <v>3352</v>
      </c>
      <c r="E26" t="s">
        <v>3353</v>
      </c>
      <c r="F26" t="s">
        <v>3308</v>
      </c>
      <c r="G26" t="s">
        <v>1635</v>
      </c>
    </row>
    <row r="27" spans="1:7" ht="11.25" customHeight="1">
      <c r="A27" s="310" t="s">
        <v>16</v>
      </c>
      <c r="B27" t="s">
        <v>3341</v>
      </c>
      <c r="C27" t="s">
        <v>3342</v>
      </c>
      <c r="D27" t="s">
        <v>3354</v>
      </c>
      <c r="E27" t="s">
        <v>3355</v>
      </c>
      <c r="F27" t="s">
        <v>3308</v>
      </c>
      <c r="G27" t="s">
        <v>1640</v>
      </c>
    </row>
    <row r="28" spans="1:7" ht="11.25" customHeight="1">
      <c r="A28" s="310" t="s">
        <v>16</v>
      </c>
      <c r="B28" t="s">
        <v>3341</v>
      </c>
      <c r="C28" t="s">
        <v>3342</v>
      </c>
      <c r="D28" t="s">
        <v>3356</v>
      </c>
      <c r="E28" t="s">
        <v>3357</v>
      </c>
      <c r="F28" t="s">
        <v>3308</v>
      </c>
      <c r="G28" t="s">
        <v>1648</v>
      </c>
    </row>
    <row r="29" spans="1:7" ht="11.25" customHeight="1">
      <c r="A29" s="310" t="s">
        <v>16</v>
      </c>
      <c r="B29" t="s">
        <v>3341</v>
      </c>
      <c r="C29" t="s">
        <v>3342</v>
      </c>
      <c r="D29" t="s">
        <v>3358</v>
      </c>
      <c r="E29" t="s">
        <v>3359</v>
      </c>
      <c r="F29" t="s">
        <v>3308</v>
      </c>
      <c r="G29" t="s">
        <v>1650</v>
      </c>
    </row>
    <row r="30" spans="1:7" ht="11.25" customHeight="1">
      <c r="A30" s="310" t="s">
        <v>16</v>
      </c>
      <c r="B30" t="s">
        <v>3341</v>
      </c>
      <c r="C30" t="s">
        <v>3342</v>
      </c>
      <c r="D30" t="s">
        <v>3360</v>
      </c>
      <c r="E30" t="s">
        <v>3361</v>
      </c>
      <c r="F30" t="s">
        <v>3308</v>
      </c>
      <c r="G30" t="s">
        <v>1653</v>
      </c>
    </row>
    <row r="31" spans="1:7" ht="11.25" customHeight="1">
      <c r="A31" s="310" t="s">
        <v>16</v>
      </c>
      <c r="B31" t="s">
        <v>3341</v>
      </c>
      <c r="C31" t="s">
        <v>3342</v>
      </c>
      <c r="D31" t="s">
        <v>3362</v>
      </c>
      <c r="E31" t="s">
        <v>3363</v>
      </c>
      <c r="F31" t="s">
        <v>3308</v>
      </c>
      <c r="G31" t="s">
        <v>1659</v>
      </c>
    </row>
    <row r="32" spans="1:7" ht="11.25" customHeight="1">
      <c r="A32" s="310" t="s">
        <v>16</v>
      </c>
      <c r="B32" t="s">
        <v>3341</v>
      </c>
      <c r="C32" t="s">
        <v>3342</v>
      </c>
      <c r="D32" t="s">
        <v>3364</v>
      </c>
      <c r="E32" t="s">
        <v>3365</v>
      </c>
      <c r="F32" t="s">
        <v>3308</v>
      </c>
      <c r="G32" t="s">
        <v>1661</v>
      </c>
    </row>
    <row r="33" spans="1:7" ht="11.25" customHeight="1">
      <c r="A33" s="310" t="s">
        <v>16</v>
      </c>
      <c r="B33" t="s">
        <v>3366</v>
      </c>
      <c r="C33" t="s">
        <v>3367</v>
      </c>
      <c r="D33" t="s">
        <v>3368</v>
      </c>
      <c r="E33" t="s">
        <v>3369</v>
      </c>
      <c r="F33" t="s">
        <v>3308</v>
      </c>
      <c r="G33" t="s">
        <v>1663</v>
      </c>
    </row>
    <row r="34" spans="1:7" ht="11.25" customHeight="1">
      <c r="A34" s="310" t="s">
        <v>16</v>
      </c>
      <c r="B34" t="s">
        <v>3366</v>
      </c>
      <c r="C34" t="s">
        <v>3367</v>
      </c>
      <c r="D34" t="s">
        <v>3366</v>
      </c>
      <c r="E34" t="s">
        <v>3367</v>
      </c>
      <c r="F34" t="s">
        <v>3305</v>
      </c>
      <c r="G34" t="s">
        <v>1665</v>
      </c>
    </row>
    <row r="35" spans="1:7" ht="11.25" customHeight="1">
      <c r="A35" s="310" t="s">
        <v>16</v>
      </c>
      <c r="B35" t="s">
        <v>3366</v>
      </c>
      <c r="C35" t="s">
        <v>3367</v>
      </c>
      <c r="D35" t="s">
        <v>3370</v>
      </c>
      <c r="E35" t="s">
        <v>3371</v>
      </c>
      <c r="F35" t="s">
        <v>3308</v>
      </c>
      <c r="G35" t="s">
        <v>1670</v>
      </c>
    </row>
    <row r="36" spans="1:7" ht="11.25" customHeight="1">
      <c r="A36" s="310" t="s">
        <v>16</v>
      </c>
      <c r="B36" t="s">
        <v>3366</v>
      </c>
      <c r="C36" t="s">
        <v>3367</v>
      </c>
      <c r="D36" t="s">
        <v>3372</v>
      </c>
      <c r="E36" t="s">
        <v>3373</v>
      </c>
      <c r="F36" t="s">
        <v>3308</v>
      </c>
      <c r="G36" t="s">
        <v>1675</v>
      </c>
    </row>
    <row r="37" spans="1:7" ht="11.25" customHeight="1">
      <c r="A37" s="310" t="s">
        <v>16</v>
      </c>
      <c r="B37" t="s">
        <v>3366</v>
      </c>
      <c r="C37" t="s">
        <v>3367</v>
      </c>
      <c r="D37" t="s">
        <v>3374</v>
      </c>
      <c r="E37" t="s">
        <v>3375</v>
      </c>
      <c r="F37" t="s">
        <v>3308</v>
      </c>
      <c r="G37" t="s">
        <v>1679</v>
      </c>
    </row>
    <row r="38" spans="1:7" ht="11.25" customHeight="1">
      <c r="A38" s="310" t="s">
        <v>16</v>
      </c>
      <c r="B38" t="s">
        <v>3366</v>
      </c>
      <c r="C38" t="s">
        <v>3367</v>
      </c>
      <c r="D38" t="s">
        <v>3376</v>
      </c>
      <c r="E38" t="s">
        <v>3377</v>
      </c>
      <c r="F38" t="s">
        <v>3308</v>
      </c>
      <c r="G38" t="s">
        <v>1687</v>
      </c>
    </row>
    <row r="39" spans="1:7" ht="11.25" customHeight="1">
      <c r="A39" s="310" t="s">
        <v>16</v>
      </c>
      <c r="B39" t="s">
        <v>124</v>
      </c>
      <c r="C39" t="s">
        <v>3378</v>
      </c>
      <c r="D39" t="s">
        <v>124</v>
      </c>
      <c r="E39" t="s">
        <v>3378</v>
      </c>
      <c r="F39" t="s">
        <v>3305</v>
      </c>
      <c r="G39" t="s">
        <v>1693</v>
      </c>
    </row>
    <row r="40" spans="1:7" ht="11.25" customHeight="1">
      <c r="A40" s="310" t="s">
        <v>16</v>
      </c>
      <c r="B40" t="s">
        <v>124</v>
      </c>
      <c r="C40" t="s">
        <v>3378</v>
      </c>
      <c r="D40" t="s">
        <v>3379</v>
      </c>
      <c r="E40" t="s">
        <v>3380</v>
      </c>
      <c r="F40" t="s">
        <v>3345</v>
      </c>
      <c r="G40" t="s">
        <v>1698</v>
      </c>
    </row>
    <row r="41" spans="1:7" ht="11.25" customHeight="1">
      <c r="A41" s="310" t="s">
        <v>16</v>
      </c>
      <c r="B41" t="s">
        <v>124</v>
      </c>
      <c r="C41" t="s">
        <v>3378</v>
      </c>
      <c r="D41" t="s">
        <v>3381</v>
      </c>
      <c r="E41" t="s">
        <v>3382</v>
      </c>
      <c r="F41" t="s">
        <v>3308</v>
      </c>
      <c r="G41" t="s">
        <v>1702</v>
      </c>
    </row>
    <row r="42" spans="1:7" ht="11.25" customHeight="1">
      <c r="A42" s="310" t="s">
        <v>16</v>
      </c>
      <c r="B42" t="s">
        <v>124</v>
      </c>
      <c r="C42" t="s">
        <v>3378</v>
      </c>
      <c r="D42" t="s">
        <v>3383</v>
      </c>
      <c r="E42" t="s">
        <v>3384</v>
      </c>
      <c r="F42" t="s">
        <v>3308</v>
      </c>
      <c r="G42" t="s">
        <v>1705</v>
      </c>
    </row>
    <row r="43" spans="1:7" ht="11.25" customHeight="1">
      <c r="A43" s="310" t="s">
        <v>16</v>
      </c>
      <c r="B43" t="s">
        <v>124</v>
      </c>
      <c r="C43" t="s">
        <v>3378</v>
      </c>
      <c r="D43" t="s">
        <v>3385</v>
      </c>
      <c r="E43" t="s">
        <v>3386</v>
      </c>
      <c r="F43" t="s">
        <v>3308</v>
      </c>
      <c r="G43" t="s">
        <v>1712</v>
      </c>
    </row>
    <row r="44" spans="1:7" ht="11.25" customHeight="1">
      <c r="A44" s="310" t="s">
        <v>16</v>
      </c>
      <c r="B44" t="s">
        <v>124</v>
      </c>
      <c r="C44" t="s">
        <v>3378</v>
      </c>
      <c r="D44" t="s">
        <v>3387</v>
      </c>
      <c r="E44" t="s">
        <v>3388</v>
      </c>
      <c r="F44" t="s">
        <v>3308</v>
      </c>
      <c r="G44" t="s">
        <v>1721</v>
      </c>
    </row>
    <row r="45" spans="1:7" ht="11.25" customHeight="1">
      <c r="A45" s="310" t="s">
        <v>16</v>
      </c>
      <c r="B45" t="s">
        <v>124</v>
      </c>
      <c r="C45" t="s">
        <v>3378</v>
      </c>
      <c r="D45" t="s">
        <v>125</v>
      </c>
      <c r="E45" t="s">
        <v>126</v>
      </c>
      <c r="F45" t="s">
        <v>3308</v>
      </c>
      <c r="G45" t="s">
        <v>123</v>
      </c>
    </row>
    <row r="46" spans="1:7" ht="11.25" customHeight="1">
      <c r="A46" s="310" t="s">
        <v>16</v>
      </c>
      <c r="B46" t="s">
        <v>124</v>
      </c>
      <c r="C46" t="s">
        <v>3378</v>
      </c>
      <c r="D46" t="s">
        <v>3389</v>
      </c>
      <c r="E46" t="s">
        <v>3390</v>
      </c>
      <c r="F46" t="s">
        <v>3308</v>
      </c>
      <c r="G46" t="s">
        <v>1729</v>
      </c>
    </row>
    <row r="47" spans="1:7" ht="11.25" customHeight="1">
      <c r="A47" s="310" t="s">
        <v>16</v>
      </c>
      <c r="B47" t="s">
        <v>124</v>
      </c>
      <c r="C47" t="s">
        <v>3378</v>
      </c>
      <c r="D47" t="s">
        <v>3391</v>
      </c>
      <c r="E47" t="s">
        <v>3392</v>
      </c>
      <c r="F47" t="s">
        <v>3308</v>
      </c>
      <c r="G47" t="s">
        <v>1735</v>
      </c>
    </row>
    <row r="48" spans="1:7" ht="11.25" customHeight="1">
      <c r="A48" s="310" t="s">
        <v>16</v>
      </c>
      <c r="B48" t="s">
        <v>124</v>
      </c>
      <c r="C48" t="s">
        <v>3378</v>
      </c>
      <c r="D48" t="s">
        <v>3393</v>
      </c>
      <c r="E48" t="s">
        <v>3394</v>
      </c>
      <c r="F48" t="s">
        <v>3308</v>
      </c>
      <c r="G48" t="s">
        <v>1740</v>
      </c>
    </row>
    <row r="49" spans="1:7" ht="11.25" customHeight="1">
      <c r="A49" s="310" t="s">
        <v>16</v>
      </c>
      <c r="B49" t="s">
        <v>124</v>
      </c>
      <c r="C49" t="s">
        <v>3378</v>
      </c>
      <c r="D49" t="s">
        <v>3395</v>
      </c>
      <c r="E49" t="s">
        <v>3396</v>
      </c>
      <c r="F49" t="s">
        <v>3308</v>
      </c>
      <c r="G49" t="s">
        <v>1743</v>
      </c>
    </row>
    <row r="50" spans="1:7" ht="11.25" customHeight="1">
      <c r="A50" s="310" t="s">
        <v>16</v>
      </c>
      <c r="B50" t="s">
        <v>124</v>
      </c>
      <c r="C50" t="s">
        <v>3378</v>
      </c>
      <c r="D50" t="s">
        <v>129</v>
      </c>
      <c r="E50" t="s">
        <v>130</v>
      </c>
      <c r="F50" t="s">
        <v>3308</v>
      </c>
      <c r="G50" t="s">
        <v>128</v>
      </c>
    </row>
    <row r="51" spans="1:7" ht="11.25" customHeight="1">
      <c r="A51" s="310" t="s">
        <v>16</v>
      </c>
      <c r="B51" t="s">
        <v>124</v>
      </c>
      <c r="C51" t="s">
        <v>3378</v>
      </c>
      <c r="D51" t="s">
        <v>3397</v>
      </c>
      <c r="E51" t="s">
        <v>3398</v>
      </c>
      <c r="F51" t="s">
        <v>3345</v>
      </c>
      <c r="G51" t="s">
        <v>1750</v>
      </c>
    </row>
    <row r="52" spans="1:7" ht="11.25" customHeight="1">
      <c r="A52" s="310" t="s">
        <v>16</v>
      </c>
      <c r="B52" t="s">
        <v>3399</v>
      </c>
      <c r="C52" t="s">
        <v>3400</v>
      </c>
      <c r="D52" t="s">
        <v>3399</v>
      </c>
      <c r="E52" t="s">
        <v>3400</v>
      </c>
      <c r="F52" t="s">
        <v>3305</v>
      </c>
      <c r="G52" t="s">
        <v>1754</v>
      </c>
    </row>
    <row r="53" spans="1:7" ht="11.25" customHeight="1">
      <c r="A53" s="310" t="s">
        <v>16</v>
      </c>
      <c r="B53" t="s">
        <v>3399</v>
      </c>
      <c r="C53" t="s">
        <v>3400</v>
      </c>
      <c r="D53" t="s">
        <v>3401</v>
      </c>
      <c r="E53" t="s">
        <v>3402</v>
      </c>
      <c r="F53" t="s">
        <v>3308</v>
      </c>
      <c r="G53" t="s">
        <v>1756</v>
      </c>
    </row>
    <row r="54" spans="1:7" ht="11.25" customHeight="1">
      <c r="A54" s="310" t="s">
        <v>16</v>
      </c>
      <c r="B54" t="s">
        <v>3399</v>
      </c>
      <c r="C54" t="s">
        <v>3400</v>
      </c>
      <c r="D54" t="s">
        <v>3403</v>
      </c>
      <c r="E54" t="s">
        <v>3404</v>
      </c>
      <c r="F54" t="s">
        <v>3308</v>
      </c>
      <c r="G54" t="s">
        <v>1759</v>
      </c>
    </row>
    <row r="55" spans="1:7" ht="11.25" customHeight="1">
      <c r="A55" s="310" t="s">
        <v>16</v>
      </c>
      <c r="B55" t="s">
        <v>3399</v>
      </c>
      <c r="C55" t="s">
        <v>3400</v>
      </c>
      <c r="D55" t="s">
        <v>3405</v>
      </c>
      <c r="E55" t="s">
        <v>3406</v>
      </c>
      <c r="F55" t="s">
        <v>3308</v>
      </c>
      <c r="G55" t="s">
        <v>1764</v>
      </c>
    </row>
    <row r="56" spans="1:7" ht="11.25" customHeight="1">
      <c r="A56" s="310" t="s">
        <v>16</v>
      </c>
      <c r="B56" t="s">
        <v>3399</v>
      </c>
      <c r="C56" t="s">
        <v>3400</v>
      </c>
      <c r="D56" t="s">
        <v>3407</v>
      </c>
      <c r="E56" t="s">
        <v>3408</v>
      </c>
      <c r="F56" t="s">
        <v>3308</v>
      </c>
      <c r="G56" t="s">
        <v>1767</v>
      </c>
    </row>
    <row r="57" spans="1:7" ht="11.25" customHeight="1">
      <c r="A57" s="310" t="s">
        <v>16</v>
      </c>
      <c r="B57" t="s">
        <v>3399</v>
      </c>
      <c r="C57" t="s">
        <v>3400</v>
      </c>
      <c r="D57" t="s">
        <v>3409</v>
      </c>
      <c r="E57" t="s">
        <v>3410</v>
      </c>
      <c r="F57" t="s">
        <v>3308</v>
      </c>
      <c r="G57" t="s">
        <v>1770</v>
      </c>
    </row>
    <row r="58" spans="1:7" ht="11.25" customHeight="1">
      <c r="A58" s="310" t="s">
        <v>16</v>
      </c>
      <c r="B58" t="s">
        <v>3399</v>
      </c>
      <c r="C58" t="s">
        <v>3400</v>
      </c>
      <c r="D58" t="s">
        <v>3411</v>
      </c>
      <c r="E58" t="s">
        <v>3412</v>
      </c>
      <c r="F58" t="s">
        <v>3308</v>
      </c>
      <c r="G58" t="s">
        <v>1773</v>
      </c>
    </row>
    <row r="59" spans="1:7" ht="11.25" customHeight="1">
      <c r="A59" s="310" t="s">
        <v>16</v>
      </c>
      <c r="B59" t="s">
        <v>3399</v>
      </c>
      <c r="C59" t="s">
        <v>3400</v>
      </c>
      <c r="D59" t="s">
        <v>3413</v>
      </c>
      <c r="E59" t="s">
        <v>3414</v>
      </c>
      <c r="F59" t="s">
        <v>3308</v>
      </c>
      <c r="G59" t="s">
        <v>1777</v>
      </c>
    </row>
    <row r="60" spans="1:7" ht="11.25" customHeight="1">
      <c r="A60" s="310" t="s">
        <v>16</v>
      </c>
      <c r="B60" t="s">
        <v>3415</v>
      </c>
      <c r="C60" t="s">
        <v>3416</v>
      </c>
      <c r="D60" t="s">
        <v>3415</v>
      </c>
      <c r="E60" t="s">
        <v>3416</v>
      </c>
      <c r="F60" t="s">
        <v>3305</v>
      </c>
      <c r="G60" t="s">
        <v>1780</v>
      </c>
    </row>
    <row r="61" spans="1:7" ht="11.25" customHeight="1">
      <c r="A61" s="310" t="s">
        <v>16</v>
      </c>
      <c r="B61" t="s">
        <v>3415</v>
      </c>
      <c r="C61" t="s">
        <v>3416</v>
      </c>
      <c r="D61" t="s">
        <v>3417</v>
      </c>
      <c r="E61" t="s">
        <v>3418</v>
      </c>
      <c r="F61" t="s">
        <v>3308</v>
      </c>
      <c r="G61" t="s">
        <v>3419</v>
      </c>
    </row>
    <row r="62" spans="1:7" ht="11.25" customHeight="1">
      <c r="A62" s="310" t="s">
        <v>16</v>
      </c>
      <c r="B62" t="s">
        <v>3415</v>
      </c>
      <c r="C62" t="s">
        <v>3416</v>
      </c>
      <c r="D62" t="s">
        <v>3420</v>
      </c>
      <c r="E62" t="s">
        <v>3421</v>
      </c>
      <c r="F62" t="s">
        <v>3308</v>
      </c>
      <c r="G62" t="s">
        <v>3422</v>
      </c>
    </row>
    <row r="63" spans="1:7" ht="11.25" customHeight="1">
      <c r="A63" s="310" t="s">
        <v>16</v>
      </c>
      <c r="B63" t="s">
        <v>3415</v>
      </c>
      <c r="C63" t="s">
        <v>3416</v>
      </c>
      <c r="D63" t="s">
        <v>3423</v>
      </c>
      <c r="E63" t="s">
        <v>3424</v>
      </c>
      <c r="F63" t="s">
        <v>3308</v>
      </c>
      <c r="G63" t="s">
        <v>3425</v>
      </c>
    </row>
    <row r="64" spans="1:7" ht="11.25" customHeight="1">
      <c r="A64" s="310" t="s">
        <v>16</v>
      </c>
      <c r="B64" t="s">
        <v>3415</v>
      </c>
      <c r="C64" t="s">
        <v>3416</v>
      </c>
      <c r="D64" t="s">
        <v>3426</v>
      </c>
      <c r="E64" t="s">
        <v>3427</v>
      </c>
      <c r="F64" t="s">
        <v>3308</v>
      </c>
      <c r="G64" t="s">
        <v>3428</v>
      </c>
    </row>
    <row r="65" spans="1:7" ht="11.25" customHeight="1">
      <c r="A65" s="310" t="s">
        <v>16</v>
      </c>
      <c r="B65" t="s">
        <v>3415</v>
      </c>
      <c r="C65" t="s">
        <v>3416</v>
      </c>
      <c r="D65" t="s">
        <v>3429</v>
      </c>
      <c r="E65" t="s">
        <v>3430</v>
      </c>
      <c r="F65" t="s">
        <v>3308</v>
      </c>
      <c r="G65" t="s">
        <v>3431</v>
      </c>
    </row>
    <row r="66" spans="1:7" ht="11.25" customHeight="1">
      <c r="A66" s="310" t="s">
        <v>16</v>
      </c>
      <c r="B66" t="s">
        <v>3415</v>
      </c>
      <c r="C66" t="s">
        <v>3416</v>
      </c>
      <c r="D66" t="s">
        <v>3432</v>
      </c>
      <c r="E66" t="s">
        <v>3433</v>
      </c>
      <c r="F66" t="s">
        <v>3308</v>
      </c>
      <c r="G66" t="s">
        <v>3434</v>
      </c>
    </row>
    <row r="67" spans="1:7" ht="11.25" customHeight="1">
      <c r="A67" s="310" t="s">
        <v>16</v>
      </c>
      <c r="B67" t="s">
        <v>3415</v>
      </c>
      <c r="C67" t="s">
        <v>3416</v>
      </c>
      <c r="D67" t="s">
        <v>3435</v>
      </c>
      <c r="E67" t="s">
        <v>3436</v>
      </c>
      <c r="F67" t="s">
        <v>3308</v>
      </c>
      <c r="G67" t="s">
        <v>2097</v>
      </c>
    </row>
    <row r="68" spans="1:7" ht="11.25" customHeight="1">
      <c r="A68" s="310" t="s">
        <v>16</v>
      </c>
      <c r="B68" t="s">
        <v>3415</v>
      </c>
      <c r="C68" t="s">
        <v>3416</v>
      </c>
      <c r="D68" t="s">
        <v>3437</v>
      </c>
      <c r="E68" t="s">
        <v>3438</v>
      </c>
      <c r="F68" t="s">
        <v>3308</v>
      </c>
      <c r="G68" t="s">
        <v>3439</v>
      </c>
    </row>
    <row r="69" spans="1:7" ht="11.25" customHeight="1">
      <c r="A69" s="310" t="s">
        <v>16</v>
      </c>
      <c r="B69" t="s">
        <v>3415</v>
      </c>
      <c r="C69" t="s">
        <v>3416</v>
      </c>
      <c r="D69" t="s">
        <v>3440</v>
      </c>
      <c r="E69" t="s">
        <v>3441</v>
      </c>
      <c r="F69" t="s">
        <v>3308</v>
      </c>
      <c r="G69" t="s">
        <v>2300</v>
      </c>
    </row>
    <row r="70" spans="1:7" ht="11.25" customHeight="1">
      <c r="A70" s="310" t="s">
        <v>16</v>
      </c>
      <c r="B70" t="s">
        <v>3415</v>
      </c>
      <c r="C70" t="s">
        <v>3416</v>
      </c>
      <c r="D70" t="s">
        <v>3442</v>
      </c>
      <c r="E70" t="s">
        <v>3443</v>
      </c>
      <c r="F70" t="s">
        <v>3308</v>
      </c>
      <c r="G70" t="s">
        <v>3444</v>
      </c>
    </row>
    <row r="71" spans="1:7" ht="11.25" customHeight="1">
      <c r="A71" s="310" t="s">
        <v>16</v>
      </c>
      <c r="B71" t="s">
        <v>3445</v>
      </c>
      <c r="C71" t="s">
        <v>3446</v>
      </c>
      <c r="D71" t="s">
        <v>3447</v>
      </c>
      <c r="E71" t="s">
        <v>3448</v>
      </c>
      <c r="F71" t="s">
        <v>3308</v>
      </c>
      <c r="G71" t="s">
        <v>3449</v>
      </c>
    </row>
    <row r="72" spans="1:7" ht="11.25" customHeight="1">
      <c r="A72" s="310" t="s">
        <v>16</v>
      </c>
      <c r="B72" t="s">
        <v>3445</v>
      </c>
      <c r="C72" t="s">
        <v>3446</v>
      </c>
      <c r="D72" t="s">
        <v>3445</v>
      </c>
      <c r="E72" t="s">
        <v>3446</v>
      </c>
      <c r="F72" t="s">
        <v>3305</v>
      </c>
      <c r="G72" t="s">
        <v>3450</v>
      </c>
    </row>
    <row r="73" spans="1:7" ht="11.25" customHeight="1">
      <c r="A73" s="310" t="s">
        <v>16</v>
      </c>
      <c r="B73" t="s">
        <v>3445</v>
      </c>
      <c r="C73" t="s">
        <v>3446</v>
      </c>
      <c r="D73" t="s">
        <v>3451</v>
      </c>
      <c r="E73" t="s">
        <v>3452</v>
      </c>
      <c r="F73" t="s">
        <v>3308</v>
      </c>
      <c r="G73" t="s">
        <v>3453</v>
      </c>
    </row>
    <row r="74" spans="1:7" ht="11.25" customHeight="1">
      <c r="A74" s="310" t="s">
        <v>16</v>
      </c>
      <c r="B74" t="s">
        <v>3445</v>
      </c>
      <c r="C74" t="s">
        <v>3446</v>
      </c>
      <c r="D74" t="s">
        <v>3454</v>
      </c>
      <c r="E74" t="s">
        <v>3455</v>
      </c>
      <c r="F74" t="s">
        <v>3308</v>
      </c>
      <c r="G74" t="s">
        <v>3456</v>
      </c>
    </row>
    <row r="75" spans="1:7" ht="11.25" customHeight="1">
      <c r="A75" s="310" t="s">
        <v>16</v>
      </c>
      <c r="B75" t="s">
        <v>3445</v>
      </c>
      <c r="C75" t="s">
        <v>3446</v>
      </c>
      <c r="D75" t="s">
        <v>3457</v>
      </c>
      <c r="E75" t="s">
        <v>3458</v>
      </c>
      <c r="F75" t="s">
        <v>3308</v>
      </c>
      <c r="G75" t="s">
        <v>3459</v>
      </c>
    </row>
    <row r="76" spans="1:7" ht="11.25" customHeight="1">
      <c r="A76" s="310" t="s">
        <v>16</v>
      </c>
      <c r="B76" t="s">
        <v>3460</v>
      </c>
      <c r="C76" t="s">
        <v>3461</v>
      </c>
      <c r="D76" t="s">
        <v>3460</v>
      </c>
      <c r="E76" t="s">
        <v>3461</v>
      </c>
      <c r="F76" t="s">
        <v>3305</v>
      </c>
      <c r="G76" t="s">
        <v>3462</v>
      </c>
    </row>
    <row r="77" spans="1:7" ht="11.25" customHeight="1">
      <c r="A77" s="310" t="s">
        <v>16</v>
      </c>
      <c r="B77" t="s">
        <v>3460</v>
      </c>
      <c r="C77" t="s">
        <v>3461</v>
      </c>
      <c r="D77" t="s">
        <v>3463</v>
      </c>
      <c r="E77" t="s">
        <v>3464</v>
      </c>
      <c r="F77" t="s">
        <v>3308</v>
      </c>
      <c r="G77" t="s">
        <v>3465</v>
      </c>
    </row>
    <row r="78" spans="1:7" ht="11.25" customHeight="1">
      <c r="A78" s="310" t="s">
        <v>16</v>
      </c>
      <c r="B78" t="s">
        <v>3460</v>
      </c>
      <c r="C78" t="s">
        <v>3461</v>
      </c>
      <c r="D78" t="s">
        <v>3466</v>
      </c>
      <c r="E78" t="s">
        <v>3467</v>
      </c>
      <c r="F78" t="s">
        <v>3308</v>
      </c>
      <c r="G78" t="s">
        <v>3468</v>
      </c>
    </row>
    <row r="79" spans="1:7" ht="11.25" customHeight="1">
      <c r="A79" s="310" t="s">
        <v>16</v>
      </c>
      <c r="B79" t="s">
        <v>3460</v>
      </c>
      <c r="C79" t="s">
        <v>3461</v>
      </c>
      <c r="D79" t="s">
        <v>3469</v>
      </c>
      <c r="E79" t="s">
        <v>3470</v>
      </c>
      <c r="F79" t="s">
        <v>3308</v>
      </c>
      <c r="G79" t="s">
        <v>3471</v>
      </c>
    </row>
    <row r="80" spans="1:7" ht="11.25" customHeight="1">
      <c r="A80" s="310" t="s">
        <v>16</v>
      </c>
      <c r="B80" t="s">
        <v>3460</v>
      </c>
      <c r="C80" t="s">
        <v>3461</v>
      </c>
      <c r="D80" t="s">
        <v>3472</v>
      </c>
      <c r="E80" t="s">
        <v>3473</v>
      </c>
      <c r="F80" t="s">
        <v>3308</v>
      </c>
      <c r="G80" t="s">
        <v>3474</v>
      </c>
    </row>
    <row r="81" spans="1:7" ht="11.25" customHeight="1">
      <c r="A81" s="310" t="s">
        <v>16</v>
      </c>
      <c r="B81" t="s">
        <v>3460</v>
      </c>
      <c r="C81" t="s">
        <v>3461</v>
      </c>
      <c r="D81" t="s">
        <v>3475</v>
      </c>
      <c r="E81" t="s">
        <v>3476</v>
      </c>
      <c r="F81" t="s">
        <v>3308</v>
      </c>
      <c r="G81" t="s">
        <v>3477</v>
      </c>
    </row>
    <row r="82" spans="1:7" ht="11.25" customHeight="1">
      <c r="A82" s="310" t="s">
        <v>16</v>
      </c>
      <c r="B82" t="s">
        <v>3460</v>
      </c>
      <c r="C82" t="s">
        <v>3461</v>
      </c>
      <c r="D82" t="s">
        <v>3478</v>
      </c>
      <c r="E82" t="s">
        <v>3479</v>
      </c>
      <c r="F82" t="s">
        <v>3308</v>
      </c>
      <c r="G82" t="s">
        <v>3480</v>
      </c>
    </row>
    <row r="83" spans="1:7" ht="11.25" customHeight="1">
      <c r="A83" s="310" t="s">
        <v>16</v>
      </c>
      <c r="B83" t="s">
        <v>3460</v>
      </c>
      <c r="C83" t="s">
        <v>3461</v>
      </c>
      <c r="D83" t="s">
        <v>3481</v>
      </c>
      <c r="E83" t="s">
        <v>3482</v>
      </c>
      <c r="F83" t="s">
        <v>3308</v>
      </c>
      <c r="G83" t="s">
        <v>3483</v>
      </c>
    </row>
    <row r="84" spans="1:7" ht="11.25" customHeight="1">
      <c r="A84" s="310" t="s">
        <v>16</v>
      </c>
      <c r="B84" t="s">
        <v>3484</v>
      </c>
      <c r="C84" t="s">
        <v>3485</v>
      </c>
      <c r="D84" t="s">
        <v>3484</v>
      </c>
      <c r="E84" t="s">
        <v>3485</v>
      </c>
      <c r="F84" t="s">
        <v>3486</v>
      </c>
      <c r="G84" t="s">
        <v>3487</v>
      </c>
    </row>
    <row r="85" spans="1:7" ht="11.25" customHeight="1">
      <c r="A85" s="310" t="s">
        <v>16</v>
      </c>
      <c r="B85" t="s">
        <v>105</v>
      </c>
      <c r="C85" t="s">
        <v>106</v>
      </c>
      <c r="D85" t="s">
        <v>105</v>
      </c>
      <c r="E85" t="s">
        <v>106</v>
      </c>
      <c r="F85" t="s">
        <v>3486</v>
      </c>
      <c r="G85" t="s">
        <v>104</v>
      </c>
    </row>
    <row r="86" spans="1:7" ht="11.25" customHeight="1">
      <c r="A86" s="310" t="s">
        <v>16</v>
      </c>
      <c r="B86" t="s">
        <v>141</v>
      </c>
      <c r="C86" t="s">
        <v>142</v>
      </c>
      <c r="D86" t="s">
        <v>141</v>
      </c>
      <c r="E86" t="s">
        <v>142</v>
      </c>
      <c r="F86" t="s">
        <v>3486</v>
      </c>
      <c r="G86" t="s">
        <v>140</v>
      </c>
    </row>
    <row r="87" spans="1:7" ht="11.25" customHeight="1">
      <c r="A87" s="310" t="s">
        <v>16</v>
      </c>
      <c r="B87" t="s">
        <v>3488</v>
      </c>
      <c r="C87" t="s">
        <v>3489</v>
      </c>
      <c r="D87" t="s">
        <v>3488</v>
      </c>
      <c r="E87" t="s">
        <v>3489</v>
      </c>
      <c r="F87" t="s">
        <v>3486</v>
      </c>
      <c r="G87" t="s">
        <v>3490</v>
      </c>
    </row>
    <row r="88" spans="1:7" ht="11.25" customHeight="1">
      <c r="A88" s="310" t="s">
        <v>16</v>
      </c>
      <c r="B88" t="s">
        <v>3491</v>
      </c>
      <c r="C88" t="s">
        <v>3492</v>
      </c>
      <c r="D88" t="s">
        <v>3491</v>
      </c>
      <c r="E88" t="s">
        <v>3492</v>
      </c>
      <c r="F88" t="s">
        <v>3486</v>
      </c>
      <c r="G88" t="s">
        <v>3493</v>
      </c>
    </row>
    <row r="89" spans="1:7" ht="11.25" customHeight="1">
      <c r="A89" s="310" t="s">
        <v>16</v>
      </c>
      <c r="B89" t="s">
        <v>3494</v>
      </c>
      <c r="C89" t="s">
        <v>3495</v>
      </c>
      <c r="D89" t="s">
        <v>3494</v>
      </c>
      <c r="E89" t="s">
        <v>3495</v>
      </c>
      <c r="F89" t="s">
        <v>3486</v>
      </c>
      <c r="G89" t="s">
        <v>3496</v>
      </c>
    </row>
    <row r="90" spans="1:7" ht="11.25" customHeight="1">
      <c r="A90" s="310" t="s">
        <v>16</v>
      </c>
      <c r="B90" t="s">
        <v>113</v>
      </c>
      <c r="C90" t="s">
        <v>114</v>
      </c>
      <c r="D90" t="s">
        <v>113</v>
      </c>
      <c r="E90" t="s">
        <v>114</v>
      </c>
      <c r="F90" t="s">
        <v>3486</v>
      </c>
      <c r="G90" t="s">
        <v>112</v>
      </c>
    </row>
    <row r="91" spans="1:7" ht="11.25" customHeight="1">
      <c r="A91" s="310" t="s">
        <v>16</v>
      </c>
      <c r="B91" t="s">
        <v>3497</v>
      </c>
      <c r="C91" t="s">
        <v>3498</v>
      </c>
      <c r="D91" t="s">
        <v>3497</v>
      </c>
      <c r="E91" t="s">
        <v>3498</v>
      </c>
      <c r="F91" t="s">
        <v>3486</v>
      </c>
      <c r="G91" t="s">
        <v>3499</v>
      </c>
    </row>
    <row r="92" spans="1:7" ht="11.25" customHeight="1">
      <c r="A92" s="310" t="s">
        <v>16</v>
      </c>
      <c r="B92" t="s">
        <v>3500</v>
      </c>
      <c r="C92" t="s">
        <v>3501</v>
      </c>
      <c r="D92" t="s">
        <v>3500</v>
      </c>
      <c r="E92" t="s">
        <v>3501</v>
      </c>
      <c r="F92" t="s">
        <v>3486</v>
      </c>
      <c r="G92" t="s">
        <v>3502</v>
      </c>
    </row>
    <row r="93" spans="1:7" ht="11.25" customHeight="1">
      <c r="A93" s="310" t="s">
        <v>16</v>
      </c>
      <c r="B93" t="s">
        <v>100</v>
      </c>
      <c r="C93" t="s">
        <v>101</v>
      </c>
      <c r="D93" t="s">
        <v>100</v>
      </c>
      <c r="E93" t="s">
        <v>101</v>
      </c>
      <c r="F93" t="s">
        <v>3486</v>
      </c>
      <c r="G93" t="s">
        <v>99</v>
      </c>
    </row>
    <row r="94" spans="1:7" ht="11.25" customHeight="1">
      <c r="A94" s="310" t="s">
        <v>16</v>
      </c>
      <c r="B94" t="s">
        <v>108</v>
      </c>
      <c r="C94" t="s">
        <v>109</v>
      </c>
      <c r="D94" t="s">
        <v>108</v>
      </c>
      <c r="E94" t="s">
        <v>109</v>
      </c>
      <c r="F94" t="s">
        <v>3486</v>
      </c>
      <c r="G94" t="s">
        <v>107</v>
      </c>
    </row>
    <row r="95" spans="1:7" ht="11.25" customHeight="1">
      <c r="A95" s="310" t="s">
        <v>16</v>
      </c>
      <c r="B95" t="s">
        <v>3503</v>
      </c>
      <c r="C95" t="s">
        <v>3504</v>
      </c>
      <c r="D95" t="s">
        <v>3503</v>
      </c>
      <c r="E95" t="s">
        <v>3504</v>
      </c>
      <c r="F95" t="s">
        <v>3486</v>
      </c>
      <c r="G95" t="s">
        <v>3505</v>
      </c>
    </row>
    <row r="96" spans="1:7" ht="11.25" customHeight="1">
      <c r="A96" s="310" t="s">
        <v>16</v>
      </c>
      <c r="B96" t="s">
        <v>160</v>
      </c>
      <c r="C96" t="s">
        <v>3506</v>
      </c>
      <c r="D96" t="s">
        <v>3507</v>
      </c>
      <c r="E96" t="s">
        <v>3508</v>
      </c>
      <c r="F96" t="s">
        <v>3308</v>
      </c>
      <c r="G96" t="s">
        <v>3509</v>
      </c>
    </row>
    <row r="97" spans="1:7" ht="11.25" customHeight="1">
      <c r="A97" s="310" t="s">
        <v>16</v>
      </c>
      <c r="B97" t="s">
        <v>160</v>
      </c>
      <c r="C97" t="s">
        <v>3506</v>
      </c>
      <c r="D97" t="s">
        <v>3510</v>
      </c>
      <c r="E97" t="s">
        <v>3511</v>
      </c>
      <c r="F97" t="s">
        <v>3308</v>
      </c>
      <c r="G97" t="s">
        <v>3512</v>
      </c>
    </row>
    <row r="98" spans="1:7" ht="11.25" customHeight="1">
      <c r="A98" s="310" t="s">
        <v>16</v>
      </c>
      <c r="B98" t="s">
        <v>160</v>
      </c>
      <c r="C98" t="s">
        <v>3506</v>
      </c>
      <c r="D98" t="s">
        <v>3513</v>
      </c>
      <c r="E98" t="s">
        <v>3514</v>
      </c>
      <c r="F98" t="s">
        <v>3308</v>
      </c>
      <c r="G98" t="s">
        <v>3515</v>
      </c>
    </row>
    <row r="99" spans="1:7" ht="11.25" customHeight="1">
      <c r="A99" s="310" t="s">
        <v>16</v>
      </c>
      <c r="B99" t="s">
        <v>160</v>
      </c>
      <c r="C99" t="s">
        <v>3506</v>
      </c>
      <c r="D99" t="s">
        <v>3451</v>
      </c>
      <c r="E99" t="s">
        <v>3516</v>
      </c>
      <c r="F99" t="s">
        <v>3308</v>
      </c>
      <c r="G99" t="s">
        <v>3517</v>
      </c>
    </row>
    <row r="100" spans="1:7" ht="11.25" customHeight="1">
      <c r="A100" s="310" t="s">
        <v>16</v>
      </c>
      <c r="B100" t="s">
        <v>160</v>
      </c>
      <c r="C100" t="s">
        <v>3506</v>
      </c>
      <c r="D100" t="s">
        <v>3518</v>
      </c>
      <c r="E100" t="s">
        <v>3519</v>
      </c>
      <c r="F100" t="s">
        <v>3308</v>
      </c>
      <c r="G100" t="s">
        <v>3520</v>
      </c>
    </row>
    <row r="101" spans="1:7" ht="11.25" customHeight="1">
      <c r="A101" s="310" t="s">
        <v>16</v>
      </c>
      <c r="B101" t="s">
        <v>160</v>
      </c>
      <c r="C101" t="s">
        <v>3506</v>
      </c>
      <c r="D101" t="s">
        <v>160</v>
      </c>
      <c r="E101" t="s">
        <v>3506</v>
      </c>
      <c r="F101" t="s">
        <v>3305</v>
      </c>
      <c r="G101" t="s">
        <v>3521</v>
      </c>
    </row>
    <row r="102" spans="1:7" ht="11.25" customHeight="1">
      <c r="A102" s="310" t="s">
        <v>16</v>
      </c>
      <c r="B102" t="s">
        <v>160</v>
      </c>
      <c r="C102" t="s">
        <v>3506</v>
      </c>
      <c r="D102" t="s">
        <v>161</v>
      </c>
      <c r="E102" t="s">
        <v>162</v>
      </c>
      <c r="F102" t="s">
        <v>3308</v>
      </c>
      <c r="G102" t="s">
        <v>159</v>
      </c>
    </row>
    <row r="103" spans="1:7" ht="11.25" customHeight="1">
      <c r="A103" s="310" t="s">
        <v>16</v>
      </c>
      <c r="B103" t="s">
        <v>160</v>
      </c>
      <c r="C103" t="s">
        <v>3506</v>
      </c>
      <c r="D103" t="s">
        <v>3522</v>
      </c>
      <c r="E103" t="s">
        <v>3523</v>
      </c>
      <c r="F103" t="s">
        <v>3308</v>
      </c>
      <c r="G103" t="s">
        <v>3524</v>
      </c>
    </row>
    <row r="104" spans="1:7" ht="11.25" customHeight="1">
      <c r="A104" s="310" t="s">
        <v>16</v>
      </c>
      <c r="B104" t="s">
        <v>160</v>
      </c>
      <c r="C104" t="s">
        <v>3506</v>
      </c>
      <c r="D104" t="s">
        <v>3525</v>
      </c>
      <c r="E104" t="s">
        <v>3526</v>
      </c>
      <c r="F104" t="s">
        <v>3308</v>
      </c>
      <c r="G104" t="s">
        <v>3527</v>
      </c>
    </row>
    <row r="105" spans="1:7" ht="11.25" customHeight="1">
      <c r="A105" s="310" t="s">
        <v>16</v>
      </c>
      <c r="B105" t="s">
        <v>160</v>
      </c>
      <c r="C105" t="s">
        <v>3506</v>
      </c>
      <c r="D105" t="s">
        <v>3528</v>
      </c>
      <c r="E105" t="s">
        <v>3529</v>
      </c>
      <c r="F105" t="s">
        <v>3308</v>
      </c>
      <c r="G105" t="s">
        <v>3530</v>
      </c>
    </row>
    <row r="106" spans="1:7" ht="11.25" customHeight="1">
      <c r="A106" s="310" t="s">
        <v>16</v>
      </c>
      <c r="B106" t="s">
        <v>160</v>
      </c>
      <c r="C106" t="s">
        <v>3506</v>
      </c>
      <c r="D106" t="s">
        <v>3531</v>
      </c>
      <c r="E106" t="s">
        <v>3532</v>
      </c>
      <c r="F106" t="s">
        <v>3308</v>
      </c>
      <c r="G106" t="s">
        <v>3533</v>
      </c>
    </row>
    <row r="107" spans="1:7" ht="11.25" customHeight="1">
      <c r="A107" s="310" t="s">
        <v>16</v>
      </c>
      <c r="B107" t="s">
        <v>160</v>
      </c>
      <c r="C107" t="s">
        <v>3506</v>
      </c>
      <c r="D107" t="s">
        <v>3534</v>
      </c>
      <c r="E107" t="s">
        <v>3535</v>
      </c>
      <c r="F107" t="s">
        <v>3308</v>
      </c>
      <c r="G107" t="s">
        <v>3536</v>
      </c>
    </row>
    <row r="108" spans="1:7" ht="11.25" customHeight="1">
      <c r="A108" s="310" t="s">
        <v>16</v>
      </c>
      <c r="B108" t="s">
        <v>160</v>
      </c>
      <c r="C108" t="s">
        <v>3506</v>
      </c>
      <c r="D108" t="s">
        <v>3478</v>
      </c>
      <c r="E108" t="s">
        <v>3537</v>
      </c>
      <c r="F108" t="s">
        <v>3308</v>
      </c>
      <c r="G108" t="s">
        <v>3538</v>
      </c>
    </row>
    <row r="109" spans="1:7" ht="11.25" customHeight="1">
      <c r="A109" s="310" t="s">
        <v>16</v>
      </c>
      <c r="B109" t="s">
        <v>160</v>
      </c>
      <c r="C109" t="s">
        <v>3506</v>
      </c>
      <c r="D109" t="s">
        <v>168</v>
      </c>
      <c r="E109" t="s">
        <v>169</v>
      </c>
      <c r="F109" t="s">
        <v>3308</v>
      </c>
      <c r="G109" t="s">
        <v>167</v>
      </c>
    </row>
    <row r="110" spans="1:7" ht="11.25" customHeight="1">
      <c r="A110" s="310" t="s">
        <v>16</v>
      </c>
      <c r="B110" t="s">
        <v>148</v>
      </c>
      <c r="C110" t="s">
        <v>3539</v>
      </c>
      <c r="D110" t="s">
        <v>3540</v>
      </c>
      <c r="E110" t="s">
        <v>3541</v>
      </c>
      <c r="F110" t="s">
        <v>3308</v>
      </c>
      <c r="G110" t="s">
        <v>3542</v>
      </c>
    </row>
    <row r="111" spans="1:7" ht="11.25" customHeight="1">
      <c r="A111" s="310" t="s">
        <v>16</v>
      </c>
      <c r="B111" t="s">
        <v>148</v>
      </c>
      <c r="C111" t="s">
        <v>3539</v>
      </c>
      <c r="D111" t="s">
        <v>3543</v>
      </c>
      <c r="E111" t="s">
        <v>3544</v>
      </c>
      <c r="F111" t="s">
        <v>3308</v>
      </c>
      <c r="G111" t="s">
        <v>3545</v>
      </c>
    </row>
    <row r="112" spans="1:7" ht="11.25" customHeight="1">
      <c r="A112" s="310" t="s">
        <v>16</v>
      </c>
      <c r="B112" t="s">
        <v>148</v>
      </c>
      <c r="C112" t="s">
        <v>3539</v>
      </c>
      <c r="D112" t="s">
        <v>148</v>
      </c>
      <c r="E112" t="s">
        <v>3539</v>
      </c>
      <c r="F112" t="s">
        <v>3305</v>
      </c>
      <c r="G112" t="s">
        <v>3546</v>
      </c>
    </row>
    <row r="113" spans="1:7" ht="11.25" customHeight="1">
      <c r="A113" s="310" t="s">
        <v>16</v>
      </c>
      <c r="B113" t="s">
        <v>148</v>
      </c>
      <c r="C113" t="s">
        <v>3539</v>
      </c>
      <c r="D113" t="s">
        <v>149</v>
      </c>
      <c r="E113" t="s">
        <v>150</v>
      </c>
      <c r="F113" t="s">
        <v>3308</v>
      </c>
      <c r="G113" t="s">
        <v>147</v>
      </c>
    </row>
    <row r="114" spans="1:7" ht="11.25" customHeight="1">
      <c r="A114" s="310" t="s">
        <v>16</v>
      </c>
      <c r="B114" t="s">
        <v>148</v>
      </c>
      <c r="C114" t="s">
        <v>3539</v>
      </c>
      <c r="D114" t="s">
        <v>3387</v>
      </c>
      <c r="E114" t="s">
        <v>3547</v>
      </c>
      <c r="F114" t="s">
        <v>3308</v>
      </c>
      <c r="G114" t="s">
        <v>3548</v>
      </c>
    </row>
    <row r="115" spans="1:7" ht="11.25" customHeight="1">
      <c r="A115" s="310" t="s">
        <v>16</v>
      </c>
      <c r="B115" t="s">
        <v>148</v>
      </c>
      <c r="C115" t="s">
        <v>3539</v>
      </c>
      <c r="D115" t="s">
        <v>3549</v>
      </c>
      <c r="E115" t="s">
        <v>3550</v>
      </c>
      <c r="F115" t="s">
        <v>3308</v>
      </c>
      <c r="G115" t="s">
        <v>3551</v>
      </c>
    </row>
    <row r="116" spans="1:7" ht="11.25" customHeight="1">
      <c r="A116" s="310" t="s">
        <v>16</v>
      </c>
      <c r="B116" t="s">
        <v>148</v>
      </c>
      <c r="C116" t="s">
        <v>3539</v>
      </c>
      <c r="D116" t="s">
        <v>3552</v>
      </c>
      <c r="E116" t="s">
        <v>3553</v>
      </c>
      <c r="F116" t="s">
        <v>3308</v>
      </c>
      <c r="G116" t="s">
        <v>3554</v>
      </c>
    </row>
    <row r="117" spans="1:7" ht="11.25" customHeight="1">
      <c r="A117" s="310" t="s">
        <v>16</v>
      </c>
      <c r="B117" t="s">
        <v>148</v>
      </c>
      <c r="C117" t="s">
        <v>3539</v>
      </c>
      <c r="D117" t="s">
        <v>3555</v>
      </c>
      <c r="E117" t="s">
        <v>3556</v>
      </c>
      <c r="F117" t="s">
        <v>3308</v>
      </c>
      <c r="G117" t="s">
        <v>3557</v>
      </c>
    </row>
    <row r="118" spans="1:7" ht="11.25" customHeight="1">
      <c r="A118" s="310" t="s">
        <v>16</v>
      </c>
      <c r="B118" t="s">
        <v>148</v>
      </c>
      <c r="C118" t="s">
        <v>3539</v>
      </c>
      <c r="D118" t="s">
        <v>3558</v>
      </c>
      <c r="E118" t="s">
        <v>3559</v>
      </c>
      <c r="F118" t="s">
        <v>3308</v>
      </c>
      <c r="G118" t="s">
        <v>3560</v>
      </c>
    </row>
    <row r="119" spans="1:7" ht="11.25" customHeight="1">
      <c r="A119" s="310" t="s">
        <v>16</v>
      </c>
      <c r="B119" t="s">
        <v>148</v>
      </c>
      <c r="C119" t="s">
        <v>3539</v>
      </c>
      <c r="D119" t="s">
        <v>3561</v>
      </c>
      <c r="E119" t="s">
        <v>3562</v>
      </c>
      <c r="F119" t="s">
        <v>3308</v>
      </c>
      <c r="G119" t="s">
        <v>3563</v>
      </c>
    </row>
    <row r="120" spans="1:7" ht="11.25" customHeight="1">
      <c r="A120" s="310" t="s">
        <v>16</v>
      </c>
      <c r="B120" t="s">
        <v>3564</v>
      </c>
      <c r="C120" t="s">
        <v>3565</v>
      </c>
      <c r="D120" t="s">
        <v>3564</v>
      </c>
      <c r="E120" t="s">
        <v>3565</v>
      </c>
      <c r="F120" t="s">
        <v>3305</v>
      </c>
      <c r="G120" t="s">
        <v>3566</v>
      </c>
    </row>
    <row r="121" spans="1:7" ht="11.25" customHeight="1">
      <c r="A121" s="310" t="s">
        <v>16</v>
      </c>
      <c r="B121" t="s">
        <v>3564</v>
      </c>
      <c r="C121" t="s">
        <v>3565</v>
      </c>
      <c r="D121" t="s">
        <v>3567</v>
      </c>
      <c r="E121" t="s">
        <v>3568</v>
      </c>
      <c r="F121" t="s">
        <v>3308</v>
      </c>
      <c r="G121" t="s">
        <v>3569</v>
      </c>
    </row>
    <row r="122" spans="1:7" ht="11.25" customHeight="1">
      <c r="A122" s="310" t="s">
        <v>16</v>
      </c>
      <c r="B122" t="s">
        <v>3564</v>
      </c>
      <c r="C122" t="s">
        <v>3565</v>
      </c>
      <c r="D122" t="s">
        <v>3570</v>
      </c>
      <c r="E122" t="s">
        <v>3571</v>
      </c>
      <c r="F122" t="s">
        <v>3308</v>
      </c>
      <c r="G122" t="s">
        <v>3572</v>
      </c>
    </row>
    <row r="123" spans="1:7" ht="11.25" customHeight="1">
      <c r="A123" s="310" t="s">
        <v>16</v>
      </c>
      <c r="B123" t="s">
        <v>3564</v>
      </c>
      <c r="C123" t="s">
        <v>3565</v>
      </c>
      <c r="D123" t="s">
        <v>3573</v>
      </c>
      <c r="E123" t="s">
        <v>3574</v>
      </c>
      <c r="F123" t="s">
        <v>3308</v>
      </c>
      <c r="G123" t="s">
        <v>3575</v>
      </c>
    </row>
    <row r="124" spans="1:7" ht="11.25" customHeight="1">
      <c r="A124" s="310" t="s">
        <v>16</v>
      </c>
      <c r="B124" t="s">
        <v>3564</v>
      </c>
      <c r="C124" t="s">
        <v>3565</v>
      </c>
      <c r="D124" t="s">
        <v>3576</v>
      </c>
      <c r="E124" t="s">
        <v>3577</v>
      </c>
      <c r="F124" t="s">
        <v>3308</v>
      </c>
      <c r="G124" t="s">
        <v>3578</v>
      </c>
    </row>
    <row r="125" spans="1:7" ht="11.25" customHeight="1">
      <c r="A125" s="310" t="s">
        <v>16</v>
      </c>
      <c r="B125" t="s">
        <v>3564</v>
      </c>
      <c r="C125" t="s">
        <v>3565</v>
      </c>
      <c r="D125" t="s">
        <v>3579</v>
      </c>
      <c r="E125" t="s">
        <v>3580</v>
      </c>
      <c r="F125" t="s">
        <v>3308</v>
      </c>
      <c r="G125" t="s">
        <v>3581</v>
      </c>
    </row>
    <row r="126" spans="1:7" ht="11.25" customHeight="1">
      <c r="A126" s="310" t="s">
        <v>16</v>
      </c>
      <c r="B126" t="s">
        <v>3564</v>
      </c>
      <c r="C126" t="s">
        <v>3565</v>
      </c>
      <c r="D126" t="s">
        <v>3582</v>
      </c>
      <c r="E126" t="s">
        <v>3583</v>
      </c>
      <c r="F126" t="s">
        <v>3308</v>
      </c>
      <c r="G126" t="s">
        <v>3584</v>
      </c>
    </row>
    <row r="127" spans="1:7" ht="11.25" customHeight="1">
      <c r="A127" s="310" t="s">
        <v>16</v>
      </c>
      <c r="B127" t="s">
        <v>3564</v>
      </c>
      <c r="C127" t="s">
        <v>3565</v>
      </c>
      <c r="D127" t="s">
        <v>3585</v>
      </c>
      <c r="E127" t="s">
        <v>3586</v>
      </c>
      <c r="F127" t="s">
        <v>3308</v>
      </c>
      <c r="G127" t="s">
        <v>3587</v>
      </c>
    </row>
    <row r="128" spans="1:7" ht="11.25" customHeight="1">
      <c r="A128" s="310" t="s">
        <v>16</v>
      </c>
      <c r="B128" t="s">
        <v>3564</v>
      </c>
      <c r="C128" t="s">
        <v>3565</v>
      </c>
      <c r="D128" t="s">
        <v>3588</v>
      </c>
      <c r="E128" t="s">
        <v>3589</v>
      </c>
      <c r="F128" t="s">
        <v>3308</v>
      </c>
      <c r="G128" t="s">
        <v>3590</v>
      </c>
    </row>
    <row r="129" spans="1:7" ht="11.25" customHeight="1">
      <c r="A129" s="310" t="s">
        <v>16</v>
      </c>
      <c r="B129" t="s">
        <v>3564</v>
      </c>
      <c r="C129" t="s">
        <v>3565</v>
      </c>
      <c r="D129" t="s">
        <v>3591</v>
      </c>
      <c r="E129" t="s">
        <v>3592</v>
      </c>
      <c r="F129" t="s">
        <v>3308</v>
      </c>
      <c r="G129" t="s">
        <v>3593</v>
      </c>
    </row>
    <row r="130" spans="1:7" ht="11.25" customHeight="1">
      <c r="A130" s="310" t="s">
        <v>16</v>
      </c>
      <c r="B130" t="s">
        <v>3594</v>
      </c>
      <c r="C130" t="s">
        <v>3595</v>
      </c>
      <c r="D130" t="s">
        <v>3596</v>
      </c>
      <c r="E130" t="s">
        <v>3597</v>
      </c>
      <c r="F130" t="s">
        <v>3308</v>
      </c>
      <c r="G130" t="s">
        <v>3598</v>
      </c>
    </row>
    <row r="131" spans="1:7" ht="11.25" customHeight="1">
      <c r="A131" s="310" t="s">
        <v>16</v>
      </c>
      <c r="B131" t="s">
        <v>3594</v>
      </c>
      <c r="C131" t="s">
        <v>3595</v>
      </c>
      <c r="D131" t="s">
        <v>3599</v>
      </c>
      <c r="E131" t="s">
        <v>3600</v>
      </c>
      <c r="F131" t="s">
        <v>3308</v>
      </c>
      <c r="G131" t="s">
        <v>3601</v>
      </c>
    </row>
    <row r="132" spans="1:7" ht="11.25" customHeight="1">
      <c r="A132" s="310" t="s">
        <v>16</v>
      </c>
      <c r="B132" t="s">
        <v>3594</v>
      </c>
      <c r="C132" t="s">
        <v>3595</v>
      </c>
      <c r="D132" t="s">
        <v>3602</v>
      </c>
      <c r="E132" t="s">
        <v>3603</v>
      </c>
      <c r="F132" t="s">
        <v>3308</v>
      </c>
      <c r="G132" t="s">
        <v>3604</v>
      </c>
    </row>
    <row r="133" spans="1:7" ht="11.25" customHeight="1">
      <c r="A133" s="310" t="s">
        <v>16</v>
      </c>
      <c r="B133" t="s">
        <v>3594</v>
      </c>
      <c r="C133" t="s">
        <v>3595</v>
      </c>
      <c r="D133" t="s">
        <v>3594</v>
      </c>
      <c r="E133" t="s">
        <v>3595</v>
      </c>
      <c r="F133" t="s">
        <v>3305</v>
      </c>
      <c r="G133" t="s">
        <v>3605</v>
      </c>
    </row>
    <row r="134" spans="1:7" ht="11.25" customHeight="1">
      <c r="A134" s="310" t="s">
        <v>16</v>
      </c>
      <c r="B134" t="s">
        <v>3594</v>
      </c>
      <c r="C134" t="s">
        <v>3595</v>
      </c>
      <c r="D134" t="s">
        <v>3606</v>
      </c>
      <c r="E134" t="s">
        <v>3607</v>
      </c>
      <c r="F134" t="s">
        <v>3345</v>
      </c>
      <c r="G134" t="s">
        <v>3608</v>
      </c>
    </row>
    <row r="135" spans="1:7" ht="11.25" customHeight="1">
      <c r="A135" s="310" t="s">
        <v>16</v>
      </c>
      <c r="B135" t="s">
        <v>3594</v>
      </c>
      <c r="C135" t="s">
        <v>3595</v>
      </c>
      <c r="D135" t="s">
        <v>3609</v>
      </c>
      <c r="E135" t="s">
        <v>3610</v>
      </c>
      <c r="F135" t="s">
        <v>3308</v>
      </c>
      <c r="G135" t="s">
        <v>3611</v>
      </c>
    </row>
    <row r="136" spans="1:7" ht="11.25" customHeight="1">
      <c r="A136" s="310" t="s">
        <v>16</v>
      </c>
      <c r="B136" t="s">
        <v>3594</v>
      </c>
      <c r="C136" t="s">
        <v>3595</v>
      </c>
      <c r="D136" t="s">
        <v>3612</v>
      </c>
      <c r="E136" t="s">
        <v>3613</v>
      </c>
      <c r="F136" t="s">
        <v>3308</v>
      </c>
      <c r="G136" t="s">
        <v>3614</v>
      </c>
    </row>
    <row r="137" spans="1:7" ht="11.25" customHeight="1">
      <c r="A137" s="310" t="s">
        <v>16</v>
      </c>
      <c r="B137" t="s">
        <v>3594</v>
      </c>
      <c r="C137" t="s">
        <v>3595</v>
      </c>
      <c r="D137" t="s">
        <v>3376</v>
      </c>
      <c r="E137" t="s">
        <v>3615</v>
      </c>
      <c r="F137" t="s">
        <v>3308</v>
      </c>
      <c r="G137" t="s">
        <v>3616</v>
      </c>
    </row>
    <row r="138" spans="1:7" ht="11.25" customHeight="1">
      <c r="A138" s="310" t="s">
        <v>16</v>
      </c>
      <c r="B138" t="s">
        <v>3594</v>
      </c>
      <c r="C138" t="s">
        <v>3595</v>
      </c>
      <c r="D138" t="s">
        <v>3617</v>
      </c>
      <c r="E138" t="s">
        <v>3618</v>
      </c>
      <c r="F138" t="s">
        <v>3308</v>
      </c>
      <c r="G138" t="s">
        <v>3619</v>
      </c>
    </row>
    <row r="139" spans="1:7" ht="11.25" customHeight="1">
      <c r="A139" s="310" t="s">
        <v>16</v>
      </c>
      <c r="B139" t="s">
        <v>3594</v>
      </c>
      <c r="C139" t="s">
        <v>3595</v>
      </c>
      <c r="D139" t="s">
        <v>3620</v>
      </c>
      <c r="E139" t="s">
        <v>3621</v>
      </c>
      <c r="F139" t="s">
        <v>3308</v>
      </c>
      <c r="G139" t="s">
        <v>3622</v>
      </c>
    </row>
    <row r="140" spans="1:7" ht="11.25" customHeight="1">
      <c r="A140" s="310" t="s">
        <v>16</v>
      </c>
      <c r="B140" t="s">
        <v>144</v>
      </c>
      <c r="C140" t="s">
        <v>3623</v>
      </c>
      <c r="D140" t="s">
        <v>3624</v>
      </c>
      <c r="E140" t="s">
        <v>3625</v>
      </c>
      <c r="F140" t="s">
        <v>3308</v>
      </c>
      <c r="G140" t="s">
        <v>3626</v>
      </c>
    </row>
    <row r="141" spans="1:7" ht="11.25" customHeight="1">
      <c r="A141" s="310" t="s">
        <v>16</v>
      </c>
      <c r="B141" t="s">
        <v>144</v>
      </c>
      <c r="C141" t="s">
        <v>3623</v>
      </c>
      <c r="D141" t="s">
        <v>3627</v>
      </c>
      <c r="E141" t="s">
        <v>3628</v>
      </c>
      <c r="F141" t="s">
        <v>3308</v>
      </c>
      <c r="G141" t="s">
        <v>3629</v>
      </c>
    </row>
    <row r="142" spans="1:7" ht="11.25" customHeight="1">
      <c r="A142" s="310" t="s">
        <v>16</v>
      </c>
      <c r="B142" t="s">
        <v>144</v>
      </c>
      <c r="C142" t="s">
        <v>3623</v>
      </c>
      <c r="D142" t="s">
        <v>3630</v>
      </c>
      <c r="E142" t="s">
        <v>3631</v>
      </c>
      <c r="F142" t="s">
        <v>3308</v>
      </c>
      <c r="G142" t="s">
        <v>3632</v>
      </c>
    </row>
    <row r="143" spans="1:7" ht="11.25" customHeight="1">
      <c r="A143" s="310" t="s">
        <v>16</v>
      </c>
      <c r="B143" t="s">
        <v>144</v>
      </c>
      <c r="C143" t="s">
        <v>3623</v>
      </c>
      <c r="D143" t="s">
        <v>144</v>
      </c>
      <c r="E143" t="s">
        <v>3623</v>
      </c>
      <c r="F143" t="s">
        <v>3305</v>
      </c>
      <c r="G143" t="s">
        <v>3633</v>
      </c>
    </row>
    <row r="144" spans="1:7" ht="11.25" customHeight="1">
      <c r="A144" s="310" t="s">
        <v>16</v>
      </c>
      <c r="B144" t="s">
        <v>144</v>
      </c>
      <c r="C144" t="s">
        <v>3623</v>
      </c>
      <c r="D144" t="s">
        <v>145</v>
      </c>
      <c r="E144" t="s">
        <v>146</v>
      </c>
      <c r="F144" t="s">
        <v>3308</v>
      </c>
      <c r="G144" t="s">
        <v>143</v>
      </c>
    </row>
    <row r="145" spans="1:7" ht="11.25" customHeight="1">
      <c r="A145" s="310" t="s">
        <v>16</v>
      </c>
      <c r="B145" t="s">
        <v>144</v>
      </c>
      <c r="C145" t="s">
        <v>3623</v>
      </c>
      <c r="D145" t="s">
        <v>3634</v>
      </c>
      <c r="E145" t="s">
        <v>3635</v>
      </c>
      <c r="F145" t="s">
        <v>3308</v>
      </c>
      <c r="G145" t="s">
        <v>3636</v>
      </c>
    </row>
    <row r="146" spans="1:7" ht="11.25" customHeight="1">
      <c r="A146" s="310" t="s">
        <v>16</v>
      </c>
      <c r="B146" t="s">
        <v>144</v>
      </c>
      <c r="C146" t="s">
        <v>3623</v>
      </c>
      <c r="D146" t="s">
        <v>3637</v>
      </c>
      <c r="E146" t="s">
        <v>3638</v>
      </c>
      <c r="F146" t="s">
        <v>3308</v>
      </c>
      <c r="G146" t="s">
        <v>3639</v>
      </c>
    </row>
    <row r="147" spans="1:7" ht="11.25" customHeight="1">
      <c r="A147" s="310" t="s">
        <v>16</v>
      </c>
      <c r="B147" t="s">
        <v>144</v>
      </c>
      <c r="C147" t="s">
        <v>3623</v>
      </c>
      <c r="D147" t="s">
        <v>3640</v>
      </c>
      <c r="E147" t="s">
        <v>3641</v>
      </c>
      <c r="F147" t="s">
        <v>3308</v>
      </c>
      <c r="G147" t="s">
        <v>3642</v>
      </c>
    </row>
    <row r="148" spans="1:7" ht="11.25" customHeight="1">
      <c r="A148" s="310" t="s">
        <v>16</v>
      </c>
      <c r="B148" t="s">
        <v>144</v>
      </c>
      <c r="C148" t="s">
        <v>3623</v>
      </c>
      <c r="D148" t="s">
        <v>3354</v>
      </c>
      <c r="E148" t="s">
        <v>3643</v>
      </c>
      <c r="F148" t="s">
        <v>3308</v>
      </c>
      <c r="G148" t="s">
        <v>3644</v>
      </c>
    </row>
    <row r="149" spans="1:7" ht="11.25" customHeight="1">
      <c r="A149" s="310" t="s">
        <v>16</v>
      </c>
      <c r="B149" t="s">
        <v>144</v>
      </c>
      <c r="C149" t="s">
        <v>3623</v>
      </c>
      <c r="D149" t="s">
        <v>3645</v>
      </c>
      <c r="E149" t="s">
        <v>3646</v>
      </c>
      <c r="F149" t="s">
        <v>3308</v>
      </c>
      <c r="G149" t="s">
        <v>3647</v>
      </c>
    </row>
    <row r="150" spans="1:7" ht="11.25" customHeight="1">
      <c r="A150" s="310" t="s">
        <v>16</v>
      </c>
      <c r="B150" t="s">
        <v>144</v>
      </c>
      <c r="C150" t="s">
        <v>3623</v>
      </c>
      <c r="D150" t="s">
        <v>3648</v>
      </c>
      <c r="E150" t="s">
        <v>3649</v>
      </c>
      <c r="F150" t="s">
        <v>3308</v>
      </c>
      <c r="G150" t="s">
        <v>3650</v>
      </c>
    </row>
    <row r="151" spans="1:7" ht="11.25" customHeight="1">
      <c r="A151" s="310" t="s">
        <v>16</v>
      </c>
      <c r="B151" t="s">
        <v>144</v>
      </c>
      <c r="C151" t="s">
        <v>3623</v>
      </c>
      <c r="D151" t="s">
        <v>3651</v>
      </c>
      <c r="E151" t="s">
        <v>3652</v>
      </c>
      <c r="F151" t="s">
        <v>3308</v>
      </c>
      <c r="G151" t="s">
        <v>3653</v>
      </c>
    </row>
    <row r="152" spans="1:7" ht="11.25" customHeight="1">
      <c r="A152" s="310" t="s">
        <v>16</v>
      </c>
      <c r="B152" t="s">
        <v>3654</v>
      </c>
      <c r="C152" t="s">
        <v>3655</v>
      </c>
      <c r="D152" t="s">
        <v>3656</v>
      </c>
      <c r="E152" t="s">
        <v>3657</v>
      </c>
      <c r="F152" t="s">
        <v>3308</v>
      </c>
      <c r="G152" t="s">
        <v>3658</v>
      </c>
    </row>
    <row r="153" spans="1:7" ht="11.25" customHeight="1">
      <c r="A153" s="310" t="s">
        <v>16</v>
      </c>
      <c r="B153" t="s">
        <v>3654</v>
      </c>
      <c r="C153" t="s">
        <v>3655</v>
      </c>
      <c r="D153" t="s">
        <v>3654</v>
      </c>
      <c r="E153" t="s">
        <v>3655</v>
      </c>
      <c r="F153" t="s">
        <v>3305</v>
      </c>
      <c r="G153" t="s">
        <v>3659</v>
      </c>
    </row>
    <row r="154" spans="1:7" ht="11.25" customHeight="1">
      <c r="A154" s="310" t="s">
        <v>16</v>
      </c>
      <c r="B154" t="s">
        <v>3654</v>
      </c>
      <c r="C154" t="s">
        <v>3655</v>
      </c>
      <c r="D154" t="s">
        <v>153</v>
      </c>
      <c r="E154" t="s">
        <v>3660</v>
      </c>
      <c r="F154" t="s">
        <v>3308</v>
      </c>
      <c r="G154" t="s">
        <v>3661</v>
      </c>
    </row>
    <row r="155" spans="1:7" ht="11.25" customHeight="1">
      <c r="A155" s="310" t="s">
        <v>16</v>
      </c>
      <c r="B155" t="s">
        <v>3654</v>
      </c>
      <c r="C155" t="s">
        <v>3655</v>
      </c>
      <c r="D155" t="s">
        <v>3662</v>
      </c>
      <c r="E155" t="s">
        <v>3663</v>
      </c>
      <c r="F155" t="s">
        <v>3308</v>
      </c>
      <c r="G155" t="s">
        <v>3664</v>
      </c>
    </row>
    <row r="156" spans="1:7" ht="11.25" customHeight="1">
      <c r="A156" s="310" t="s">
        <v>16</v>
      </c>
      <c r="B156" t="s">
        <v>3654</v>
      </c>
      <c r="C156" t="s">
        <v>3655</v>
      </c>
      <c r="D156" t="s">
        <v>3637</v>
      </c>
      <c r="E156" t="s">
        <v>3665</v>
      </c>
      <c r="F156" t="s">
        <v>3308</v>
      </c>
      <c r="G156" t="s">
        <v>3666</v>
      </c>
    </row>
    <row r="157" spans="1:7" ht="11.25" customHeight="1">
      <c r="A157" s="310" t="s">
        <v>16</v>
      </c>
      <c r="B157" t="s">
        <v>3654</v>
      </c>
      <c r="C157" t="s">
        <v>3655</v>
      </c>
      <c r="D157" t="s">
        <v>3667</v>
      </c>
      <c r="E157" t="s">
        <v>3668</v>
      </c>
      <c r="F157" t="s">
        <v>3308</v>
      </c>
      <c r="G157" t="s">
        <v>3669</v>
      </c>
    </row>
    <row r="158" spans="1:7" ht="11.25" customHeight="1">
      <c r="A158" s="310" t="s">
        <v>16</v>
      </c>
      <c r="B158" t="s">
        <v>3654</v>
      </c>
      <c r="C158" t="s">
        <v>3655</v>
      </c>
      <c r="D158" t="s">
        <v>3670</v>
      </c>
      <c r="E158" t="s">
        <v>3671</v>
      </c>
      <c r="F158" t="s">
        <v>3308</v>
      </c>
      <c r="G158" t="s">
        <v>3672</v>
      </c>
    </row>
    <row r="159" spans="1:7" ht="11.25" customHeight="1">
      <c r="A159" s="310" t="s">
        <v>16</v>
      </c>
      <c r="B159" t="s">
        <v>3654</v>
      </c>
      <c r="C159" t="s">
        <v>3655</v>
      </c>
      <c r="D159" t="s">
        <v>3673</v>
      </c>
      <c r="E159" t="s">
        <v>3674</v>
      </c>
      <c r="F159" t="s">
        <v>3308</v>
      </c>
      <c r="G159" t="s">
        <v>3675</v>
      </c>
    </row>
    <row r="160" spans="1:7" ht="11.25" customHeight="1">
      <c r="A160" s="310" t="s">
        <v>16</v>
      </c>
      <c r="B160" t="s">
        <v>3654</v>
      </c>
      <c r="C160" t="s">
        <v>3655</v>
      </c>
      <c r="D160" t="s">
        <v>3676</v>
      </c>
      <c r="E160" t="s">
        <v>3677</v>
      </c>
      <c r="F160" t="s">
        <v>3308</v>
      </c>
      <c r="G160" t="s">
        <v>3678</v>
      </c>
    </row>
    <row r="161" spans="1:7" ht="11.25" customHeight="1">
      <c r="A161" s="310" t="s">
        <v>16</v>
      </c>
      <c r="B161" t="s">
        <v>116</v>
      </c>
      <c r="C161" t="s">
        <v>3679</v>
      </c>
      <c r="D161" t="s">
        <v>3680</v>
      </c>
      <c r="E161" t="s">
        <v>3681</v>
      </c>
      <c r="F161" t="s">
        <v>3308</v>
      </c>
      <c r="G161" t="s">
        <v>3682</v>
      </c>
    </row>
    <row r="162" spans="1:7" ht="11.25" customHeight="1">
      <c r="A162" s="310" t="s">
        <v>16</v>
      </c>
      <c r="B162" t="s">
        <v>116</v>
      </c>
      <c r="C162" t="s">
        <v>3679</v>
      </c>
      <c r="D162" t="s">
        <v>117</v>
      </c>
      <c r="E162" t="s">
        <v>118</v>
      </c>
      <c r="F162" t="s">
        <v>3308</v>
      </c>
      <c r="G162" t="s">
        <v>115</v>
      </c>
    </row>
    <row r="163" spans="1:7" ht="11.25" customHeight="1">
      <c r="A163" s="310" t="s">
        <v>16</v>
      </c>
      <c r="B163" t="s">
        <v>116</v>
      </c>
      <c r="C163" t="s">
        <v>3679</v>
      </c>
      <c r="D163" t="s">
        <v>3683</v>
      </c>
      <c r="E163" t="s">
        <v>3684</v>
      </c>
      <c r="F163" t="s">
        <v>3308</v>
      </c>
      <c r="G163" t="s">
        <v>3685</v>
      </c>
    </row>
    <row r="164" spans="1:7" ht="11.25" customHeight="1">
      <c r="A164" s="310" t="s">
        <v>16</v>
      </c>
      <c r="B164" t="s">
        <v>116</v>
      </c>
      <c r="C164" t="s">
        <v>3679</v>
      </c>
      <c r="D164" t="s">
        <v>3686</v>
      </c>
      <c r="E164" t="s">
        <v>3687</v>
      </c>
      <c r="F164" t="s">
        <v>3688</v>
      </c>
      <c r="G164" t="s">
        <v>3689</v>
      </c>
    </row>
    <row r="165" spans="1:7" ht="11.25" customHeight="1">
      <c r="A165" s="310" t="s">
        <v>16</v>
      </c>
      <c r="B165" t="s">
        <v>116</v>
      </c>
      <c r="C165" t="s">
        <v>3679</v>
      </c>
      <c r="D165" t="s">
        <v>3690</v>
      </c>
      <c r="E165" t="s">
        <v>3691</v>
      </c>
      <c r="F165" t="s">
        <v>3308</v>
      </c>
      <c r="G165" t="s">
        <v>3692</v>
      </c>
    </row>
    <row r="166" spans="1:7" ht="11.25" customHeight="1">
      <c r="A166" s="310" t="s">
        <v>16</v>
      </c>
      <c r="B166" t="s">
        <v>116</v>
      </c>
      <c r="C166" t="s">
        <v>3679</v>
      </c>
      <c r="D166" t="s">
        <v>3693</v>
      </c>
      <c r="E166" t="s">
        <v>3694</v>
      </c>
      <c r="F166" t="s">
        <v>3308</v>
      </c>
      <c r="G166" t="s">
        <v>3695</v>
      </c>
    </row>
    <row r="167" spans="1:7" ht="11.25" customHeight="1">
      <c r="A167" s="310" t="s">
        <v>16</v>
      </c>
      <c r="B167" t="s">
        <v>116</v>
      </c>
      <c r="C167" t="s">
        <v>3679</v>
      </c>
      <c r="D167" t="s">
        <v>3696</v>
      </c>
      <c r="E167" t="s">
        <v>3697</v>
      </c>
      <c r="F167" t="s">
        <v>3308</v>
      </c>
      <c r="G167" t="s">
        <v>3698</v>
      </c>
    </row>
    <row r="168" spans="1:7" ht="11.25" customHeight="1">
      <c r="A168" s="310" t="s">
        <v>16</v>
      </c>
      <c r="B168" t="s">
        <v>116</v>
      </c>
      <c r="C168" t="s">
        <v>3679</v>
      </c>
      <c r="D168" t="s">
        <v>116</v>
      </c>
      <c r="E168" t="s">
        <v>3679</v>
      </c>
      <c r="F168" t="s">
        <v>3305</v>
      </c>
      <c r="G168" t="s">
        <v>3699</v>
      </c>
    </row>
    <row r="169" spans="1:7" ht="11.25" customHeight="1">
      <c r="A169" s="310" t="s">
        <v>16</v>
      </c>
      <c r="B169" t="s">
        <v>116</v>
      </c>
      <c r="C169" t="s">
        <v>3679</v>
      </c>
      <c r="D169" t="s">
        <v>3700</v>
      </c>
      <c r="E169" t="s">
        <v>3701</v>
      </c>
      <c r="F169" t="s">
        <v>3308</v>
      </c>
      <c r="G169" t="s">
        <v>3702</v>
      </c>
    </row>
    <row r="170" spans="1:7" ht="11.25" customHeight="1">
      <c r="A170" s="310" t="s">
        <v>16</v>
      </c>
      <c r="B170" t="s">
        <v>116</v>
      </c>
      <c r="C170" t="s">
        <v>3679</v>
      </c>
      <c r="D170" t="s">
        <v>3703</v>
      </c>
      <c r="E170" t="s">
        <v>3704</v>
      </c>
      <c r="F170" t="s">
        <v>3308</v>
      </c>
      <c r="G170" t="s">
        <v>3705</v>
      </c>
    </row>
    <row r="171" spans="1:7" ht="11.25" customHeight="1">
      <c r="A171" s="310" t="s">
        <v>16</v>
      </c>
      <c r="B171" t="s">
        <v>116</v>
      </c>
      <c r="C171" t="s">
        <v>3679</v>
      </c>
      <c r="D171" t="s">
        <v>3706</v>
      </c>
      <c r="E171" t="s">
        <v>3707</v>
      </c>
      <c r="F171" t="s">
        <v>3308</v>
      </c>
      <c r="G171" t="s">
        <v>3708</v>
      </c>
    </row>
    <row r="172" spans="1:7" ht="11.25" customHeight="1">
      <c r="A172" s="310" t="s">
        <v>16</v>
      </c>
      <c r="B172" t="s">
        <v>116</v>
      </c>
      <c r="C172" t="s">
        <v>3679</v>
      </c>
      <c r="D172" t="s">
        <v>3709</v>
      </c>
      <c r="E172" t="s">
        <v>3710</v>
      </c>
      <c r="F172" t="s">
        <v>3308</v>
      </c>
      <c r="G172" t="s">
        <v>3711</v>
      </c>
    </row>
    <row r="173" spans="1:7" ht="11.25" customHeight="1">
      <c r="A173" s="310" t="s">
        <v>16</v>
      </c>
      <c r="B173" t="s">
        <v>116</v>
      </c>
      <c r="C173" t="s">
        <v>3679</v>
      </c>
      <c r="D173" t="s">
        <v>3712</v>
      </c>
      <c r="E173" t="s">
        <v>3713</v>
      </c>
      <c r="F173" t="s">
        <v>3308</v>
      </c>
      <c r="G173" t="s">
        <v>3714</v>
      </c>
    </row>
    <row r="174" spans="1:7" ht="11.25" customHeight="1">
      <c r="A174" s="310" t="s">
        <v>16</v>
      </c>
      <c r="B174" t="s">
        <v>3715</v>
      </c>
      <c r="C174" t="s">
        <v>3716</v>
      </c>
      <c r="D174" t="s">
        <v>3717</v>
      </c>
      <c r="E174" t="s">
        <v>3718</v>
      </c>
      <c r="F174" t="s">
        <v>3308</v>
      </c>
      <c r="G174" t="s">
        <v>3719</v>
      </c>
    </row>
    <row r="175" spans="1:7" ht="11.25" customHeight="1">
      <c r="A175" s="310" t="s">
        <v>16</v>
      </c>
      <c r="B175" t="s">
        <v>3715</v>
      </c>
      <c r="C175" t="s">
        <v>3716</v>
      </c>
      <c r="D175" t="s">
        <v>3720</v>
      </c>
      <c r="E175" t="s">
        <v>3721</v>
      </c>
      <c r="F175" t="s">
        <v>3308</v>
      </c>
      <c r="G175" t="s">
        <v>3722</v>
      </c>
    </row>
    <row r="176" spans="1:7" ht="11.25" customHeight="1">
      <c r="A176" s="310" t="s">
        <v>16</v>
      </c>
      <c r="B176" t="s">
        <v>3715</v>
      </c>
      <c r="C176" t="s">
        <v>3716</v>
      </c>
      <c r="D176" t="s">
        <v>3723</v>
      </c>
      <c r="E176" t="s">
        <v>3724</v>
      </c>
      <c r="F176" t="s">
        <v>3308</v>
      </c>
      <c r="G176" t="s">
        <v>3725</v>
      </c>
    </row>
    <row r="177" spans="1:7" ht="11.25" customHeight="1">
      <c r="A177" s="310" t="s">
        <v>16</v>
      </c>
      <c r="B177" t="s">
        <v>3715</v>
      </c>
      <c r="C177" t="s">
        <v>3716</v>
      </c>
      <c r="D177" t="s">
        <v>3726</v>
      </c>
      <c r="E177" t="s">
        <v>3727</v>
      </c>
      <c r="F177" t="s">
        <v>3308</v>
      </c>
      <c r="G177" t="s">
        <v>3728</v>
      </c>
    </row>
    <row r="178" spans="1:7" ht="11.25" customHeight="1">
      <c r="A178" s="310" t="s">
        <v>16</v>
      </c>
      <c r="B178" t="s">
        <v>3715</v>
      </c>
      <c r="C178" t="s">
        <v>3716</v>
      </c>
      <c r="D178" t="s">
        <v>3715</v>
      </c>
      <c r="E178" t="s">
        <v>3716</v>
      </c>
      <c r="F178" t="s">
        <v>3305</v>
      </c>
      <c r="G178" t="s">
        <v>3729</v>
      </c>
    </row>
    <row r="179" spans="1:7" ht="11.25" customHeight="1">
      <c r="A179" s="310" t="s">
        <v>16</v>
      </c>
      <c r="B179" t="s">
        <v>3715</v>
      </c>
      <c r="C179" t="s">
        <v>3716</v>
      </c>
      <c r="D179" t="s">
        <v>3730</v>
      </c>
      <c r="E179" t="s">
        <v>3731</v>
      </c>
      <c r="F179" t="s">
        <v>3308</v>
      </c>
      <c r="G179" t="s">
        <v>3732</v>
      </c>
    </row>
    <row r="180" spans="1:7" ht="11.25" customHeight="1">
      <c r="A180" s="310" t="s">
        <v>16</v>
      </c>
      <c r="B180" t="s">
        <v>3715</v>
      </c>
      <c r="C180" t="s">
        <v>3716</v>
      </c>
      <c r="D180" t="s">
        <v>3733</v>
      </c>
      <c r="E180" t="s">
        <v>3734</v>
      </c>
      <c r="F180" t="s">
        <v>3308</v>
      </c>
      <c r="G180" t="s">
        <v>3735</v>
      </c>
    </row>
    <row r="181" spans="1:7" ht="11.25" customHeight="1">
      <c r="A181" s="310" t="s">
        <v>16</v>
      </c>
      <c r="B181" t="s">
        <v>3715</v>
      </c>
      <c r="C181" t="s">
        <v>3716</v>
      </c>
      <c r="D181" t="s">
        <v>3736</v>
      </c>
      <c r="E181" t="s">
        <v>3737</v>
      </c>
      <c r="F181" t="s">
        <v>3308</v>
      </c>
      <c r="G181" t="s">
        <v>3738</v>
      </c>
    </row>
    <row r="182" spans="1:7" ht="11.25" customHeight="1">
      <c r="A182" s="310" t="s">
        <v>16</v>
      </c>
      <c r="B182" t="s">
        <v>3715</v>
      </c>
      <c r="C182" t="s">
        <v>3716</v>
      </c>
      <c r="D182" t="s">
        <v>3739</v>
      </c>
      <c r="E182" t="s">
        <v>3740</v>
      </c>
      <c r="F182" t="s">
        <v>3308</v>
      </c>
      <c r="G182" t="s">
        <v>3741</v>
      </c>
    </row>
    <row r="183" spans="1:7" ht="11.25" customHeight="1">
      <c r="A183" s="310" t="s">
        <v>16</v>
      </c>
      <c r="B183" t="s">
        <v>3715</v>
      </c>
      <c r="C183" t="s">
        <v>3716</v>
      </c>
      <c r="D183" t="s">
        <v>3742</v>
      </c>
      <c r="E183" t="s">
        <v>3743</v>
      </c>
      <c r="F183" t="s">
        <v>3308</v>
      </c>
      <c r="G183" t="s">
        <v>3744</v>
      </c>
    </row>
    <row r="184" spans="1:7" ht="11.25" customHeight="1">
      <c r="A184" s="310" t="s">
        <v>16</v>
      </c>
      <c r="B184" t="s">
        <v>3715</v>
      </c>
      <c r="C184" t="s">
        <v>3716</v>
      </c>
      <c r="D184" t="s">
        <v>3745</v>
      </c>
      <c r="E184" t="s">
        <v>3746</v>
      </c>
      <c r="F184" t="s">
        <v>3308</v>
      </c>
      <c r="G184" t="s">
        <v>3747</v>
      </c>
    </row>
    <row r="185" spans="1:7" ht="11.25" customHeight="1">
      <c r="A185" s="310" t="s">
        <v>16</v>
      </c>
      <c r="B185" t="s">
        <v>3748</v>
      </c>
      <c r="C185" t="s">
        <v>3749</v>
      </c>
      <c r="D185" t="s">
        <v>3750</v>
      </c>
      <c r="E185" t="s">
        <v>3751</v>
      </c>
      <c r="F185" t="s">
        <v>3308</v>
      </c>
      <c r="G185" t="s">
        <v>3752</v>
      </c>
    </row>
    <row r="186" spans="1:7" ht="11.25" customHeight="1">
      <c r="A186" s="310" t="s">
        <v>16</v>
      </c>
      <c r="B186" t="s">
        <v>3748</v>
      </c>
      <c r="C186" t="s">
        <v>3749</v>
      </c>
      <c r="D186" t="s">
        <v>3753</v>
      </c>
      <c r="E186" t="s">
        <v>3754</v>
      </c>
      <c r="F186" t="s">
        <v>3308</v>
      </c>
      <c r="G186" t="s">
        <v>3755</v>
      </c>
    </row>
    <row r="187" spans="1:7" ht="11.25" customHeight="1">
      <c r="A187" s="310" t="s">
        <v>16</v>
      </c>
      <c r="B187" t="s">
        <v>3748</v>
      </c>
      <c r="C187" t="s">
        <v>3749</v>
      </c>
      <c r="D187" t="s">
        <v>3756</v>
      </c>
      <c r="E187" t="s">
        <v>3757</v>
      </c>
      <c r="F187" t="s">
        <v>3308</v>
      </c>
      <c r="G187" t="s">
        <v>3758</v>
      </c>
    </row>
    <row r="188" spans="1:7" ht="11.25" customHeight="1">
      <c r="A188" s="310" t="s">
        <v>16</v>
      </c>
      <c r="B188" t="s">
        <v>3748</v>
      </c>
      <c r="C188" t="s">
        <v>3749</v>
      </c>
      <c r="D188" t="s">
        <v>3748</v>
      </c>
      <c r="E188" t="s">
        <v>3749</v>
      </c>
      <c r="F188" t="s">
        <v>3305</v>
      </c>
      <c r="G188" t="s">
        <v>3759</v>
      </c>
    </row>
    <row r="189" spans="1:7" ht="11.25" customHeight="1">
      <c r="A189" s="310" t="s">
        <v>16</v>
      </c>
      <c r="B189" t="s">
        <v>3748</v>
      </c>
      <c r="C189" t="s">
        <v>3749</v>
      </c>
      <c r="D189" t="s">
        <v>3760</v>
      </c>
      <c r="E189" t="s">
        <v>3761</v>
      </c>
      <c r="F189" t="s">
        <v>3345</v>
      </c>
      <c r="G189" t="s">
        <v>3762</v>
      </c>
    </row>
    <row r="190" spans="1:7" ht="11.25" customHeight="1">
      <c r="A190" s="310" t="s">
        <v>16</v>
      </c>
      <c r="B190" t="s">
        <v>3748</v>
      </c>
      <c r="C190" t="s">
        <v>3749</v>
      </c>
      <c r="D190" t="s">
        <v>3763</v>
      </c>
      <c r="E190" t="s">
        <v>3764</v>
      </c>
      <c r="F190" t="s">
        <v>3308</v>
      </c>
      <c r="G190" t="s">
        <v>3765</v>
      </c>
    </row>
    <row r="191" spans="1:7" ht="11.25" customHeight="1">
      <c r="A191" s="310" t="s">
        <v>16</v>
      </c>
      <c r="B191" t="s">
        <v>3748</v>
      </c>
      <c r="C191" t="s">
        <v>3749</v>
      </c>
      <c r="D191" t="s">
        <v>3766</v>
      </c>
      <c r="E191" t="s">
        <v>3767</v>
      </c>
      <c r="F191" t="s">
        <v>3308</v>
      </c>
      <c r="G191" t="s">
        <v>3768</v>
      </c>
    </row>
    <row r="192" spans="1:7" ht="11.25" customHeight="1">
      <c r="A192" s="310" t="s">
        <v>16</v>
      </c>
      <c r="B192" t="s">
        <v>3748</v>
      </c>
      <c r="C192" t="s">
        <v>3749</v>
      </c>
      <c r="D192" t="s">
        <v>3769</v>
      </c>
      <c r="E192" t="s">
        <v>3770</v>
      </c>
      <c r="F192" t="s">
        <v>3308</v>
      </c>
      <c r="G192" t="s">
        <v>3771</v>
      </c>
    </row>
    <row r="193" spans="1:7" ht="11.25" customHeight="1">
      <c r="A193" s="310" t="s">
        <v>16</v>
      </c>
      <c r="B193" t="s">
        <v>3772</v>
      </c>
      <c r="C193" t="s">
        <v>3773</v>
      </c>
      <c r="D193" t="s">
        <v>3774</v>
      </c>
      <c r="E193" t="s">
        <v>3775</v>
      </c>
      <c r="F193" t="s">
        <v>3308</v>
      </c>
      <c r="G193" t="s">
        <v>3776</v>
      </c>
    </row>
    <row r="194" spans="1:7" ht="11.25" customHeight="1">
      <c r="A194" s="310" t="s">
        <v>16</v>
      </c>
      <c r="B194" t="s">
        <v>3772</v>
      </c>
      <c r="C194" t="s">
        <v>3773</v>
      </c>
      <c r="D194" t="s">
        <v>3777</v>
      </c>
      <c r="E194" t="s">
        <v>3778</v>
      </c>
      <c r="F194" t="s">
        <v>3308</v>
      </c>
      <c r="G194" t="s">
        <v>3779</v>
      </c>
    </row>
    <row r="195" spans="1:7" ht="11.25" customHeight="1">
      <c r="A195" s="310" t="s">
        <v>16</v>
      </c>
      <c r="B195" t="s">
        <v>3772</v>
      </c>
      <c r="C195" t="s">
        <v>3773</v>
      </c>
      <c r="D195" t="s">
        <v>3780</v>
      </c>
      <c r="E195" t="s">
        <v>3781</v>
      </c>
      <c r="F195" t="s">
        <v>3345</v>
      </c>
      <c r="G195" t="s">
        <v>3782</v>
      </c>
    </row>
    <row r="196" spans="1:7" ht="11.25" customHeight="1">
      <c r="A196" s="310" t="s">
        <v>16</v>
      </c>
      <c r="B196" t="s">
        <v>3772</v>
      </c>
      <c r="C196" t="s">
        <v>3773</v>
      </c>
      <c r="D196" t="s">
        <v>3783</v>
      </c>
      <c r="E196" t="s">
        <v>3784</v>
      </c>
      <c r="F196" t="s">
        <v>3308</v>
      </c>
      <c r="G196" t="s">
        <v>3785</v>
      </c>
    </row>
    <row r="197" spans="1:7" ht="11.25" customHeight="1">
      <c r="A197" s="310" t="s">
        <v>16</v>
      </c>
      <c r="B197" t="s">
        <v>3772</v>
      </c>
      <c r="C197" t="s">
        <v>3773</v>
      </c>
      <c r="D197" t="s">
        <v>3786</v>
      </c>
      <c r="E197" t="s">
        <v>3787</v>
      </c>
      <c r="F197" t="s">
        <v>3308</v>
      </c>
      <c r="G197" t="s">
        <v>3788</v>
      </c>
    </row>
    <row r="198" spans="1:7" ht="11.25" customHeight="1">
      <c r="A198" s="310" t="s">
        <v>16</v>
      </c>
      <c r="B198" t="s">
        <v>3772</v>
      </c>
      <c r="C198" t="s">
        <v>3773</v>
      </c>
      <c r="D198" t="s">
        <v>3570</v>
      </c>
      <c r="E198" t="s">
        <v>3789</v>
      </c>
      <c r="F198" t="s">
        <v>3308</v>
      </c>
      <c r="G198" t="s">
        <v>3790</v>
      </c>
    </row>
    <row r="199" spans="1:7" ht="11.25" customHeight="1">
      <c r="A199" s="310" t="s">
        <v>16</v>
      </c>
      <c r="B199" t="s">
        <v>3772</v>
      </c>
      <c r="C199" t="s">
        <v>3773</v>
      </c>
      <c r="D199" t="s">
        <v>3791</v>
      </c>
      <c r="E199" t="s">
        <v>3792</v>
      </c>
      <c r="F199" t="s">
        <v>3308</v>
      </c>
      <c r="G199" t="s">
        <v>3793</v>
      </c>
    </row>
    <row r="200" spans="1:7" ht="11.25" customHeight="1">
      <c r="A200" s="310" t="s">
        <v>16</v>
      </c>
      <c r="B200" t="s">
        <v>3772</v>
      </c>
      <c r="C200" t="s">
        <v>3773</v>
      </c>
      <c r="D200" t="s">
        <v>3525</v>
      </c>
      <c r="E200" t="s">
        <v>3794</v>
      </c>
      <c r="F200" t="s">
        <v>3308</v>
      </c>
      <c r="G200" t="s">
        <v>3795</v>
      </c>
    </row>
    <row r="201" spans="1:7" ht="11.25" customHeight="1">
      <c r="A201" s="310" t="s">
        <v>16</v>
      </c>
      <c r="B201" t="s">
        <v>3772</v>
      </c>
      <c r="C201" t="s">
        <v>3773</v>
      </c>
      <c r="D201" t="s">
        <v>3772</v>
      </c>
      <c r="E201" t="s">
        <v>3773</v>
      </c>
      <c r="F201" t="s">
        <v>3305</v>
      </c>
      <c r="G201" t="s">
        <v>3796</v>
      </c>
    </row>
    <row r="202" spans="1:7" ht="11.25" customHeight="1">
      <c r="A202" s="310" t="s">
        <v>16</v>
      </c>
      <c r="B202" t="s">
        <v>3772</v>
      </c>
      <c r="C202" t="s">
        <v>3773</v>
      </c>
      <c r="D202" t="s">
        <v>3797</v>
      </c>
      <c r="E202" t="s">
        <v>3798</v>
      </c>
      <c r="F202" t="s">
        <v>3345</v>
      </c>
      <c r="G202" t="s">
        <v>3799</v>
      </c>
    </row>
    <row r="203" spans="1:7" ht="11.25" customHeight="1">
      <c r="A203" s="310" t="s">
        <v>16</v>
      </c>
      <c r="B203" t="s">
        <v>3772</v>
      </c>
      <c r="C203" t="s">
        <v>3773</v>
      </c>
      <c r="D203" t="s">
        <v>3800</v>
      </c>
      <c r="E203" t="s">
        <v>3801</v>
      </c>
      <c r="F203" t="s">
        <v>3308</v>
      </c>
      <c r="G203" t="s">
        <v>3802</v>
      </c>
    </row>
    <row r="204" spans="1:7" ht="11.25" customHeight="1">
      <c r="A204" s="310" t="s">
        <v>16</v>
      </c>
      <c r="B204" t="s">
        <v>3772</v>
      </c>
      <c r="C204" t="s">
        <v>3773</v>
      </c>
      <c r="D204" t="s">
        <v>3803</v>
      </c>
      <c r="E204" t="s">
        <v>3804</v>
      </c>
      <c r="F204" t="s">
        <v>3308</v>
      </c>
      <c r="G204" t="s">
        <v>3805</v>
      </c>
    </row>
    <row r="205" spans="1:7" ht="11.25" customHeight="1">
      <c r="A205" s="310" t="s">
        <v>16</v>
      </c>
      <c r="B205" t="s">
        <v>3772</v>
      </c>
      <c r="C205" t="s">
        <v>3773</v>
      </c>
      <c r="D205" t="s">
        <v>3806</v>
      </c>
      <c r="E205" t="s">
        <v>3807</v>
      </c>
      <c r="F205" t="s">
        <v>3308</v>
      </c>
      <c r="G205" t="s">
        <v>3808</v>
      </c>
    </row>
    <row r="206" spans="1:7" ht="11.25" customHeight="1">
      <c r="A206" s="310" t="s">
        <v>16</v>
      </c>
      <c r="B206" t="s">
        <v>3772</v>
      </c>
      <c r="C206" t="s">
        <v>3773</v>
      </c>
      <c r="D206" t="s">
        <v>3809</v>
      </c>
      <c r="E206" t="s">
        <v>3810</v>
      </c>
      <c r="F206" t="s">
        <v>3308</v>
      </c>
      <c r="G206" t="s">
        <v>3811</v>
      </c>
    </row>
    <row r="207" spans="1:7" ht="11.25" customHeight="1">
      <c r="A207" s="310" t="s">
        <v>16</v>
      </c>
      <c r="B207" t="s">
        <v>3772</v>
      </c>
      <c r="C207" t="s">
        <v>3773</v>
      </c>
      <c r="D207" t="s">
        <v>3812</v>
      </c>
      <c r="E207" t="s">
        <v>3813</v>
      </c>
      <c r="F207" t="s">
        <v>3688</v>
      </c>
      <c r="G207" t="s">
        <v>3814</v>
      </c>
    </row>
    <row r="208" spans="1:7" ht="11.25" customHeight="1">
      <c r="A208" s="310" t="s">
        <v>16</v>
      </c>
      <c r="B208" t="s">
        <v>3772</v>
      </c>
      <c r="C208" t="s">
        <v>3773</v>
      </c>
      <c r="D208" t="s">
        <v>3815</v>
      </c>
      <c r="E208" t="s">
        <v>3816</v>
      </c>
      <c r="F208" t="s">
        <v>3308</v>
      </c>
      <c r="G208" t="s">
        <v>3817</v>
      </c>
    </row>
    <row r="209" spans="1:7" ht="11.25" customHeight="1">
      <c r="A209" s="310" t="s">
        <v>16</v>
      </c>
      <c r="B209" t="s">
        <v>3818</v>
      </c>
      <c r="C209" t="s">
        <v>3819</v>
      </c>
      <c r="D209" t="s">
        <v>3820</v>
      </c>
      <c r="E209" t="s">
        <v>3821</v>
      </c>
      <c r="F209" t="s">
        <v>3308</v>
      </c>
      <c r="G209" t="s">
        <v>3822</v>
      </c>
    </row>
    <row r="210" spans="1:7" ht="11.25" customHeight="1">
      <c r="A210" s="310" t="s">
        <v>16</v>
      </c>
      <c r="B210" t="s">
        <v>3818</v>
      </c>
      <c r="C210" t="s">
        <v>3819</v>
      </c>
      <c r="D210" t="s">
        <v>3818</v>
      </c>
      <c r="E210" t="s">
        <v>3819</v>
      </c>
      <c r="F210" t="s">
        <v>3305</v>
      </c>
      <c r="G210" t="s">
        <v>3823</v>
      </c>
    </row>
    <row r="211" spans="1:7" ht="11.25" customHeight="1">
      <c r="A211" s="310" t="s">
        <v>16</v>
      </c>
      <c r="B211" t="s">
        <v>3818</v>
      </c>
      <c r="C211" t="s">
        <v>3819</v>
      </c>
      <c r="D211" t="s">
        <v>3824</v>
      </c>
      <c r="E211" t="s">
        <v>3825</v>
      </c>
      <c r="F211" t="s">
        <v>3308</v>
      </c>
      <c r="G211" t="s">
        <v>3826</v>
      </c>
    </row>
    <row r="212" spans="1:7" ht="11.25" customHeight="1">
      <c r="A212" s="310" t="s">
        <v>16</v>
      </c>
      <c r="B212" t="s">
        <v>3818</v>
      </c>
      <c r="C212" t="s">
        <v>3819</v>
      </c>
      <c r="D212" t="s">
        <v>3827</v>
      </c>
      <c r="E212" t="s">
        <v>3828</v>
      </c>
      <c r="F212" t="s">
        <v>3308</v>
      </c>
      <c r="G212" t="s">
        <v>3829</v>
      </c>
    </row>
    <row r="213" spans="1:7" ht="11.25" customHeight="1">
      <c r="A213" s="310" t="s">
        <v>16</v>
      </c>
      <c r="B213" t="s">
        <v>3830</v>
      </c>
      <c r="C213" t="s">
        <v>3831</v>
      </c>
      <c r="D213" t="s">
        <v>3832</v>
      </c>
      <c r="E213" t="s">
        <v>3833</v>
      </c>
      <c r="F213" t="s">
        <v>3308</v>
      </c>
      <c r="G213" t="s">
        <v>3834</v>
      </c>
    </row>
    <row r="214" spans="1:7" ht="11.25" customHeight="1">
      <c r="A214" s="310" t="s">
        <v>16</v>
      </c>
      <c r="B214" t="s">
        <v>3830</v>
      </c>
      <c r="C214" t="s">
        <v>3831</v>
      </c>
      <c r="D214" t="s">
        <v>3835</v>
      </c>
      <c r="E214" t="s">
        <v>3836</v>
      </c>
      <c r="F214" t="s">
        <v>3308</v>
      </c>
      <c r="G214" t="s">
        <v>3837</v>
      </c>
    </row>
    <row r="215" spans="1:7" ht="11.25" customHeight="1">
      <c r="A215" s="310" t="s">
        <v>16</v>
      </c>
      <c r="B215" t="s">
        <v>3830</v>
      </c>
      <c r="C215" t="s">
        <v>3831</v>
      </c>
      <c r="D215" t="s">
        <v>3838</v>
      </c>
      <c r="E215" t="s">
        <v>3839</v>
      </c>
      <c r="F215" t="s">
        <v>3308</v>
      </c>
      <c r="G215" t="s">
        <v>3840</v>
      </c>
    </row>
    <row r="216" spans="1:7" ht="11.25" customHeight="1">
      <c r="A216" s="310" t="s">
        <v>16</v>
      </c>
      <c r="B216" t="s">
        <v>3830</v>
      </c>
      <c r="C216" t="s">
        <v>3831</v>
      </c>
      <c r="D216" t="s">
        <v>3841</v>
      </c>
      <c r="E216" t="s">
        <v>3842</v>
      </c>
      <c r="F216" t="s">
        <v>3308</v>
      </c>
      <c r="G216" t="s">
        <v>3843</v>
      </c>
    </row>
    <row r="217" spans="1:7" ht="11.25" customHeight="1">
      <c r="A217" s="310" t="s">
        <v>16</v>
      </c>
      <c r="B217" t="s">
        <v>3830</v>
      </c>
      <c r="C217" t="s">
        <v>3831</v>
      </c>
      <c r="D217" t="s">
        <v>3844</v>
      </c>
      <c r="E217" t="s">
        <v>3845</v>
      </c>
      <c r="F217" t="s">
        <v>3308</v>
      </c>
      <c r="G217" t="s">
        <v>3846</v>
      </c>
    </row>
    <row r="218" spans="1:7" ht="11.25" customHeight="1">
      <c r="A218" s="310" t="s">
        <v>16</v>
      </c>
      <c r="B218" t="s">
        <v>3830</v>
      </c>
      <c r="C218" t="s">
        <v>3831</v>
      </c>
      <c r="D218" t="s">
        <v>3830</v>
      </c>
      <c r="E218" t="s">
        <v>3831</v>
      </c>
      <c r="F218" t="s">
        <v>3305</v>
      </c>
      <c r="G218" t="s">
        <v>3847</v>
      </c>
    </row>
    <row r="219" spans="1:7" ht="11.25" customHeight="1">
      <c r="A219" s="310" t="s">
        <v>16</v>
      </c>
      <c r="B219" t="s">
        <v>3830</v>
      </c>
      <c r="C219" t="s">
        <v>3831</v>
      </c>
      <c r="D219" t="s">
        <v>3848</v>
      </c>
      <c r="E219" t="s">
        <v>3849</v>
      </c>
      <c r="F219" t="s">
        <v>3308</v>
      </c>
      <c r="G219" t="s">
        <v>3850</v>
      </c>
    </row>
    <row r="220" spans="1:7" ht="11.25" customHeight="1">
      <c r="A220" s="310" t="s">
        <v>16</v>
      </c>
      <c r="B220" t="s">
        <v>3830</v>
      </c>
      <c r="C220" t="s">
        <v>3831</v>
      </c>
      <c r="D220" t="s">
        <v>3851</v>
      </c>
      <c r="E220" t="s">
        <v>3852</v>
      </c>
      <c r="F220" t="s">
        <v>3308</v>
      </c>
      <c r="G220" t="s">
        <v>3853</v>
      </c>
    </row>
    <row r="221" spans="1:7" ht="11.25" customHeight="1">
      <c r="A221" s="310" t="s">
        <v>16</v>
      </c>
      <c r="B221" t="s">
        <v>3830</v>
      </c>
      <c r="C221" t="s">
        <v>3831</v>
      </c>
      <c r="D221" t="s">
        <v>3854</v>
      </c>
      <c r="E221" t="s">
        <v>3855</v>
      </c>
      <c r="F221" t="s">
        <v>3308</v>
      </c>
      <c r="G221" t="s">
        <v>3856</v>
      </c>
    </row>
    <row r="222" spans="1:7" ht="11.25" customHeight="1">
      <c r="A222" s="310" t="s">
        <v>16</v>
      </c>
      <c r="B222" t="s">
        <v>3830</v>
      </c>
      <c r="C222" t="s">
        <v>3831</v>
      </c>
      <c r="D222" t="s">
        <v>3857</v>
      </c>
      <c r="E222" t="s">
        <v>3858</v>
      </c>
      <c r="F222" t="s">
        <v>3308</v>
      </c>
      <c r="G222" t="s">
        <v>3859</v>
      </c>
    </row>
    <row r="223" spans="1:7" ht="11.25" customHeight="1">
      <c r="A223" s="310" t="s">
        <v>16</v>
      </c>
      <c r="B223" t="s">
        <v>3860</v>
      </c>
      <c r="C223" t="s">
        <v>3861</v>
      </c>
      <c r="D223" t="s">
        <v>3862</v>
      </c>
      <c r="E223" t="s">
        <v>3863</v>
      </c>
      <c r="F223" t="s">
        <v>3308</v>
      </c>
      <c r="G223" t="s">
        <v>3864</v>
      </c>
    </row>
    <row r="224" spans="1:7" ht="11.25" customHeight="1">
      <c r="A224" s="310" t="s">
        <v>16</v>
      </c>
      <c r="B224" t="s">
        <v>3860</v>
      </c>
      <c r="C224" t="s">
        <v>3861</v>
      </c>
      <c r="D224" t="s">
        <v>3865</v>
      </c>
      <c r="E224" t="s">
        <v>3866</v>
      </c>
      <c r="F224" t="s">
        <v>3308</v>
      </c>
      <c r="G224" t="s">
        <v>3867</v>
      </c>
    </row>
    <row r="225" spans="1:7" ht="11.25" customHeight="1">
      <c r="A225" s="310" t="s">
        <v>16</v>
      </c>
      <c r="B225" t="s">
        <v>3860</v>
      </c>
      <c r="C225" t="s">
        <v>3861</v>
      </c>
      <c r="D225" t="s">
        <v>3868</v>
      </c>
      <c r="E225" t="s">
        <v>3869</v>
      </c>
      <c r="F225" t="s">
        <v>3308</v>
      </c>
      <c r="G225" t="s">
        <v>3870</v>
      </c>
    </row>
    <row r="226" spans="1:7" ht="11.25" customHeight="1">
      <c r="A226" s="310" t="s">
        <v>16</v>
      </c>
      <c r="B226" t="s">
        <v>3860</v>
      </c>
      <c r="C226" t="s">
        <v>3861</v>
      </c>
      <c r="D226" t="s">
        <v>3871</v>
      </c>
      <c r="E226" t="s">
        <v>3872</v>
      </c>
      <c r="F226" t="s">
        <v>3308</v>
      </c>
      <c r="G226" t="s">
        <v>3873</v>
      </c>
    </row>
    <row r="227" spans="1:7" ht="11.25" customHeight="1">
      <c r="A227" s="310" t="s">
        <v>16</v>
      </c>
      <c r="B227" t="s">
        <v>3860</v>
      </c>
      <c r="C227" t="s">
        <v>3861</v>
      </c>
      <c r="D227" t="s">
        <v>3874</v>
      </c>
      <c r="E227" t="s">
        <v>3875</v>
      </c>
      <c r="F227" t="s">
        <v>3308</v>
      </c>
      <c r="G227" t="s">
        <v>3876</v>
      </c>
    </row>
    <row r="228" spans="1:7" ht="11.25" customHeight="1">
      <c r="A228" s="310" t="s">
        <v>16</v>
      </c>
      <c r="B228" t="s">
        <v>3860</v>
      </c>
      <c r="C228" t="s">
        <v>3861</v>
      </c>
      <c r="D228" t="s">
        <v>3860</v>
      </c>
      <c r="E228" t="s">
        <v>3861</v>
      </c>
      <c r="F228" t="s">
        <v>3305</v>
      </c>
      <c r="G228" t="s">
        <v>3877</v>
      </c>
    </row>
    <row r="229" spans="1:7" ht="11.25" customHeight="1">
      <c r="A229" s="310" t="s">
        <v>16</v>
      </c>
      <c r="B229" t="s">
        <v>3860</v>
      </c>
      <c r="C229" t="s">
        <v>3861</v>
      </c>
      <c r="D229" t="s">
        <v>3878</v>
      </c>
      <c r="E229" t="s">
        <v>3879</v>
      </c>
      <c r="F229" t="s">
        <v>3308</v>
      </c>
      <c r="G229" t="s">
        <v>3880</v>
      </c>
    </row>
    <row r="230" spans="1:7" ht="11.25" customHeight="1">
      <c r="A230" s="310" t="s">
        <v>16</v>
      </c>
      <c r="B230" t="s">
        <v>3860</v>
      </c>
      <c r="C230" t="s">
        <v>3861</v>
      </c>
      <c r="D230" t="s">
        <v>3881</v>
      </c>
      <c r="E230" t="s">
        <v>3882</v>
      </c>
      <c r="F230" t="s">
        <v>3308</v>
      </c>
      <c r="G230" t="s">
        <v>3883</v>
      </c>
    </row>
    <row r="231" spans="1:7" ht="11.25" customHeight="1">
      <c r="A231" s="310" t="s">
        <v>16</v>
      </c>
      <c r="B231" t="s">
        <v>3860</v>
      </c>
      <c r="C231" t="s">
        <v>3861</v>
      </c>
      <c r="D231" t="s">
        <v>3884</v>
      </c>
      <c r="E231" t="s">
        <v>3885</v>
      </c>
      <c r="F231" t="s">
        <v>3308</v>
      </c>
      <c r="G231" t="s">
        <v>3886</v>
      </c>
    </row>
    <row r="232" spans="1:7" ht="11.25" customHeight="1">
      <c r="A232" s="310" t="s">
        <v>16</v>
      </c>
      <c r="B232" t="s">
        <v>120</v>
      </c>
      <c r="C232" t="s">
        <v>3887</v>
      </c>
      <c r="D232" t="s">
        <v>3888</v>
      </c>
      <c r="E232" t="s">
        <v>3889</v>
      </c>
      <c r="F232" t="s">
        <v>3308</v>
      </c>
      <c r="G232" t="s">
        <v>3890</v>
      </c>
    </row>
    <row r="233" spans="1:7" ht="11.25" customHeight="1">
      <c r="A233" s="310" t="s">
        <v>16</v>
      </c>
      <c r="B233" t="s">
        <v>120</v>
      </c>
      <c r="C233" t="s">
        <v>3887</v>
      </c>
      <c r="D233" t="s">
        <v>3891</v>
      </c>
      <c r="E233" t="s">
        <v>3892</v>
      </c>
      <c r="F233" t="s">
        <v>3308</v>
      </c>
      <c r="G233" t="s">
        <v>3893</v>
      </c>
    </row>
    <row r="234" spans="1:7" ht="11.25" customHeight="1">
      <c r="A234" s="310" t="s">
        <v>16</v>
      </c>
      <c r="B234" t="s">
        <v>120</v>
      </c>
      <c r="C234" t="s">
        <v>3887</v>
      </c>
      <c r="D234" t="s">
        <v>3894</v>
      </c>
      <c r="E234" t="s">
        <v>3895</v>
      </c>
      <c r="F234" t="s">
        <v>3308</v>
      </c>
      <c r="G234" t="s">
        <v>3896</v>
      </c>
    </row>
    <row r="235" spans="1:7" ht="11.25" customHeight="1">
      <c r="A235" s="310" t="s">
        <v>16</v>
      </c>
      <c r="B235" t="s">
        <v>120</v>
      </c>
      <c r="C235" t="s">
        <v>3887</v>
      </c>
      <c r="D235" t="s">
        <v>3897</v>
      </c>
      <c r="E235" t="s">
        <v>3898</v>
      </c>
      <c r="F235" t="s">
        <v>3308</v>
      </c>
      <c r="G235" t="s">
        <v>3899</v>
      </c>
    </row>
    <row r="236" spans="1:7" ht="11.25" customHeight="1">
      <c r="A236" s="310" t="s">
        <v>16</v>
      </c>
      <c r="B236" t="s">
        <v>120</v>
      </c>
      <c r="C236" t="s">
        <v>3887</v>
      </c>
      <c r="D236" t="s">
        <v>3900</v>
      </c>
      <c r="E236" t="s">
        <v>3901</v>
      </c>
      <c r="F236" t="s">
        <v>3308</v>
      </c>
      <c r="G236" t="s">
        <v>3902</v>
      </c>
    </row>
    <row r="237" spans="1:7" ht="11.25" customHeight="1">
      <c r="A237" s="310" t="s">
        <v>16</v>
      </c>
      <c r="B237" t="s">
        <v>120</v>
      </c>
      <c r="C237" t="s">
        <v>3887</v>
      </c>
      <c r="D237" t="s">
        <v>3903</v>
      </c>
      <c r="E237" t="s">
        <v>3904</v>
      </c>
      <c r="F237" t="s">
        <v>3308</v>
      </c>
      <c r="G237" t="s">
        <v>3905</v>
      </c>
    </row>
    <row r="238" spans="1:7" ht="11.25" customHeight="1">
      <c r="A238" s="310" t="s">
        <v>16</v>
      </c>
      <c r="B238" t="s">
        <v>120</v>
      </c>
      <c r="C238" t="s">
        <v>3887</v>
      </c>
      <c r="D238" t="s">
        <v>120</v>
      </c>
      <c r="E238" t="s">
        <v>3887</v>
      </c>
      <c r="F238" t="s">
        <v>3305</v>
      </c>
      <c r="G238" t="s">
        <v>3906</v>
      </c>
    </row>
    <row r="239" spans="1:7" ht="11.25" customHeight="1">
      <c r="A239" s="310" t="s">
        <v>16</v>
      </c>
      <c r="B239" t="s">
        <v>120</v>
      </c>
      <c r="C239" t="s">
        <v>3887</v>
      </c>
      <c r="D239" t="s">
        <v>121</v>
      </c>
      <c r="E239" t="s">
        <v>122</v>
      </c>
      <c r="F239" t="s">
        <v>3345</v>
      </c>
      <c r="G239" t="s">
        <v>119</v>
      </c>
    </row>
    <row r="240" spans="1:7" ht="11.25" customHeight="1">
      <c r="A240" s="310" t="s">
        <v>16</v>
      </c>
      <c r="B240" t="s">
        <v>120</v>
      </c>
      <c r="C240" t="s">
        <v>3887</v>
      </c>
      <c r="D240" t="s">
        <v>3907</v>
      </c>
      <c r="E240" t="s">
        <v>3908</v>
      </c>
      <c r="F240" t="s">
        <v>3308</v>
      </c>
      <c r="G240" t="s">
        <v>3909</v>
      </c>
    </row>
    <row r="241" spans="1:7" ht="11.25" customHeight="1">
      <c r="A241" s="310" t="s">
        <v>16</v>
      </c>
      <c r="B241" t="s">
        <v>120</v>
      </c>
      <c r="C241" t="s">
        <v>3887</v>
      </c>
      <c r="D241" t="s">
        <v>3736</v>
      </c>
      <c r="E241" t="s">
        <v>3910</v>
      </c>
      <c r="F241" t="s">
        <v>3308</v>
      </c>
      <c r="G241" t="s">
        <v>3911</v>
      </c>
    </row>
    <row r="242" spans="1:7" ht="11.25" customHeight="1">
      <c r="A242" s="310" t="s">
        <v>16</v>
      </c>
      <c r="B242" t="s">
        <v>120</v>
      </c>
      <c r="C242" t="s">
        <v>3887</v>
      </c>
      <c r="D242" t="s">
        <v>3912</v>
      </c>
      <c r="E242" t="s">
        <v>3913</v>
      </c>
      <c r="F242" t="s">
        <v>3308</v>
      </c>
      <c r="G242" t="s">
        <v>3914</v>
      </c>
    </row>
    <row r="243" spans="1:7" ht="11.25" customHeight="1">
      <c r="A243" s="310" t="s">
        <v>16</v>
      </c>
      <c r="B243" t="s">
        <v>120</v>
      </c>
      <c r="C243" t="s">
        <v>3887</v>
      </c>
      <c r="D243" t="s">
        <v>3915</v>
      </c>
      <c r="E243" t="s">
        <v>3916</v>
      </c>
      <c r="F243" t="s">
        <v>3308</v>
      </c>
      <c r="G243" t="s">
        <v>3917</v>
      </c>
    </row>
    <row r="244" spans="1:7" ht="11.25" customHeight="1">
      <c r="A244" s="310" t="s">
        <v>16</v>
      </c>
      <c r="B244" t="s">
        <v>120</v>
      </c>
      <c r="C244" t="s">
        <v>3887</v>
      </c>
      <c r="D244" t="s">
        <v>3918</v>
      </c>
      <c r="E244" t="s">
        <v>3919</v>
      </c>
      <c r="F244" t="s">
        <v>3308</v>
      </c>
      <c r="G244" t="s">
        <v>3920</v>
      </c>
    </row>
    <row r="245" spans="1:7" ht="11.25" customHeight="1">
      <c r="A245" s="310" t="s">
        <v>16</v>
      </c>
      <c r="B245" t="s">
        <v>120</v>
      </c>
      <c r="C245" t="s">
        <v>3887</v>
      </c>
      <c r="D245" t="s">
        <v>3921</v>
      </c>
      <c r="E245" t="s">
        <v>3922</v>
      </c>
      <c r="F245" t="s">
        <v>3308</v>
      </c>
      <c r="G245" t="s">
        <v>3923</v>
      </c>
    </row>
    <row r="246" spans="1:7" ht="11.25" customHeight="1">
      <c r="A246" s="310" t="s">
        <v>16</v>
      </c>
      <c r="B246" t="s">
        <v>3924</v>
      </c>
      <c r="C246" t="s">
        <v>3925</v>
      </c>
      <c r="D246" t="s">
        <v>3926</v>
      </c>
      <c r="E246" t="s">
        <v>3927</v>
      </c>
      <c r="F246" t="s">
        <v>3308</v>
      </c>
      <c r="G246" t="s">
        <v>3928</v>
      </c>
    </row>
    <row r="247" spans="1:7" ht="11.25" customHeight="1">
      <c r="A247" s="310" t="s">
        <v>16</v>
      </c>
      <c r="B247" t="s">
        <v>3924</v>
      </c>
      <c r="C247" t="s">
        <v>3925</v>
      </c>
      <c r="D247" t="s">
        <v>3929</v>
      </c>
      <c r="E247" t="s">
        <v>3930</v>
      </c>
      <c r="F247" t="s">
        <v>3308</v>
      </c>
      <c r="G247" t="s">
        <v>3931</v>
      </c>
    </row>
    <row r="248" spans="1:7" ht="11.25" customHeight="1">
      <c r="A248" s="310" t="s">
        <v>16</v>
      </c>
      <c r="B248" t="s">
        <v>3924</v>
      </c>
      <c r="C248" t="s">
        <v>3925</v>
      </c>
      <c r="D248" t="s">
        <v>3924</v>
      </c>
      <c r="E248" t="s">
        <v>3925</v>
      </c>
      <c r="F248" t="s">
        <v>3305</v>
      </c>
      <c r="G248" t="s">
        <v>3932</v>
      </c>
    </row>
    <row r="249" spans="1:7" ht="11.25" customHeight="1">
      <c r="A249" s="310" t="s">
        <v>16</v>
      </c>
      <c r="B249" t="s">
        <v>3924</v>
      </c>
      <c r="C249" t="s">
        <v>3925</v>
      </c>
      <c r="D249" t="s">
        <v>3933</v>
      </c>
      <c r="E249" t="s">
        <v>3934</v>
      </c>
      <c r="F249" t="s">
        <v>3308</v>
      </c>
      <c r="G249" t="s">
        <v>3935</v>
      </c>
    </row>
    <row r="250" spans="1:7" ht="11.25" customHeight="1">
      <c r="A250" s="310" t="s">
        <v>16</v>
      </c>
      <c r="B250" t="s">
        <v>3924</v>
      </c>
      <c r="C250" t="s">
        <v>3925</v>
      </c>
      <c r="D250" t="s">
        <v>3936</v>
      </c>
      <c r="E250" t="s">
        <v>3937</v>
      </c>
      <c r="F250" t="s">
        <v>3308</v>
      </c>
      <c r="G250" t="s">
        <v>3938</v>
      </c>
    </row>
    <row r="251" spans="1:7" ht="11.25" customHeight="1">
      <c r="A251" s="310" t="s">
        <v>16</v>
      </c>
      <c r="B251" t="s">
        <v>3924</v>
      </c>
      <c r="C251" t="s">
        <v>3925</v>
      </c>
      <c r="D251" t="s">
        <v>157</v>
      </c>
      <c r="E251" t="s">
        <v>3939</v>
      </c>
      <c r="F251" t="s">
        <v>3308</v>
      </c>
      <c r="G251" t="s">
        <v>3940</v>
      </c>
    </row>
    <row r="252" spans="1:7" ht="11.25" customHeight="1">
      <c r="A252" s="310" t="s">
        <v>16</v>
      </c>
      <c r="B252" t="s">
        <v>3924</v>
      </c>
      <c r="C252" t="s">
        <v>3925</v>
      </c>
      <c r="D252" t="s">
        <v>3941</v>
      </c>
      <c r="E252" t="s">
        <v>3942</v>
      </c>
      <c r="F252" t="s">
        <v>3308</v>
      </c>
      <c r="G252" t="s">
        <v>3943</v>
      </c>
    </row>
    <row r="253" spans="1:7" ht="11.25" customHeight="1">
      <c r="A253" s="310" t="s">
        <v>16</v>
      </c>
      <c r="B253" t="s">
        <v>3924</v>
      </c>
      <c r="C253" t="s">
        <v>3925</v>
      </c>
      <c r="D253" t="s">
        <v>3944</v>
      </c>
      <c r="E253" t="s">
        <v>3945</v>
      </c>
      <c r="F253" t="s">
        <v>3308</v>
      </c>
      <c r="G253" t="s">
        <v>3946</v>
      </c>
    </row>
    <row r="254" spans="1:7" ht="11.25" customHeight="1">
      <c r="A254" s="310" t="s">
        <v>16</v>
      </c>
      <c r="B254" t="s">
        <v>3947</v>
      </c>
      <c r="C254" t="s">
        <v>3948</v>
      </c>
      <c r="D254" t="s">
        <v>3949</v>
      </c>
      <c r="E254" t="s">
        <v>3950</v>
      </c>
      <c r="F254" t="s">
        <v>3308</v>
      </c>
      <c r="G254" t="s">
        <v>3951</v>
      </c>
    </row>
    <row r="255" spans="1:7" ht="11.25" customHeight="1">
      <c r="A255" s="310" t="s">
        <v>16</v>
      </c>
      <c r="B255" t="s">
        <v>3947</v>
      </c>
      <c r="C255" t="s">
        <v>3948</v>
      </c>
      <c r="D255" t="s">
        <v>3952</v>
      </c>
      <c r="E255" t="s">
        <v>3953</v>
      </c>
      <c r="F255" t="s">
        <v>3308</v>
      </c>
      <c r="G255" t="s">
        <v>3954</v>
      </c>
    </row>
    <row r="256" spans="1:7" ht="11.25" customHeight="1">
      <c r="A256" s="310" t="s">
        <v>16</v>
      </c>
      <c r="B256" t="s">
        <v>3947</v>
      </c>
      <c r="C256" t="s">
        <v>3948</v>
      </c>
      <c r="D256" t="s">
        <v>3955</v>
      </c>
      <c r="E256" t="s">
        <v>3956</v>
      </c>
      <c r="F256" t="s">
        <v>3308</v>
      </c>
      <c r="G256" t="s">
        <v>3957</v>
      </c>
    </row>
    <row r="257" spans="1:7" ht="11.25" customHeight="1">
      <c r="A257" s="310" t="s">
        <v>16</v>
      </c>
      <c r="B257" t="s">
        <v>3947</v>
      </c>
      <c r="C257" t="s">
        <v>3948</v>
      </c>
      <c r="D257" t="s">
        <v>3958</v>
      </c>
      <c r="E257" t="s">
        <v>3959</v>
      </c>
      <c r="F257" t="s">
        <v>3308</v>
      </c>
      <c r="G257" t="s">
        <v>3960</v>
      </c>
    </row>
    <row r="258" spans="1:7" ht="11.25" customHeight="1">
      <c r="A258" s="310" t="s">
        <v>16</v>
      </c>
      <c r="B258" t="s">
        <v>3947</v>
      </c>
      <c r="C258" t="s">
        <v>3948</v>
      </c>
      <c r="D258" t="s">
        <v>3961</v>
      </c>
      <c r="E258" t="s">
        <v>3962</v>
      </c>
      <c r="F258" t="s">
        <v>3308</v>
      </c>
      <c r="G258" t="s">
        <v>3963</v>
      </c>
    </row>
    <row r="259" spans="1:7" ht="11.25" customHeight="1">
      <c r="A259" s="310" t="s">
        <v>16</v>
      </c>
      <c r="B259" t="s">
        <v>3947</v>
      </c>
      <c r="C259" t="s">
        <v>3948</v>
      </c>
      <c r="D259" t="s">
        <v>3964</v>
      </c>
      <c r="E259" t="s">
        <v>3965</v>
      </c>
      <c r="F259" t="s">
        <v>3308</v>
      </c>
      <c r="G259" t="s">
        <v>3966</v>
      </c>
    </row>
    <row r="260" spans="1:7" ht="11.25" customHeight="1">
      <c r="A260" s="310" t="s">
        <v>16</v>
      </c>
      <c r="B260" t="s">
        <v>3947</v>
      </c>
      <c r="C260" t="s">
        <v>3948</v>
      </c>
      <c r="D260" t="s">
        <v>3947</v>
      </c>
      <c r="E260" t="s">
        <v>3948</v>
      </c>
      <c r="F260" t="s">
        <v>3305</v>
      </c>
      <c r="G260" t="s">
        <v>3967</v>
      </c>
    </row>
    <row r="261" spans="1:7" ht="11.25" customHeight="1">
      <c r="A261" s="310" t="s">
        <v>16</v>
      </c>
      <c r="B261" t="s">
        <v>3947</v>
      </c>
      <c r="C261" t="s">
        <v>3948</v>
      </c>
      <c r="D261" t="s">
        <v>3968</v>
      </c>
      <c r="E261" t="s">
        <v>3969</v>
      </c>
      <c r="F261" t="s">
        <v>3345</v>
      </c>
      <c r="G261" t="s">
        <v>3970</v>
      </c>
    </row>
    <row r="262" spans="1:7" ht="11.25" customHeight="1">
      <c r="A262" s="310" t="s">
        <v>16</v>
      </c>
      <c r="B262" t="s">
        <v>3947</v>
      </c>
      <c r="C262" t="s">
        <v>3948</v>
      </c>
      <c r="D262" t="s">
        <v>3971</v>
      </c>
      <c r="E262" t="s">
        <v>3972</v>
      </c>
      <c r="F262" t="s">
        <v>3308</v>
      </c>
      <c r="G262" t="s">
        <v>3973</v>
      </c>
    </row>
    <row r="263" spans="1:7" ht="11.25" customHeight="1">
      <c r="A263" s="310" t="s">
        <v>16</v>
      </c>
      <c r="B263" t="s">
        <v>3947</v>
      </c>
      <c r="C263" t="s">
        <v>3948</v>
      </c>
      <c r="D263" t="s">
        <v>3974</v>
      </c>
      <c r="E263" t="s">
        <v>3975</v>
      </c>
      <c r="F263" t="s">
        <v>3308</v>
      </c>
      <c r="G263" t="s">
        <v>3976</v>
      </c>
    </row>
    <row r="264" spans="1:7" ht="11.25" customHeight="1">
      <c r="A264" s="310" t="s">
        <v>16</v>
      </c>
      <c r="B264" t="s">
        <v>3977</v>
      </c>
      <c r="C264" t="s">
        <v>3978</v>
      </c>
      <c r="D264" t="s">
        <v>3979</v>
      </c>
      <c r="E264" t="s">
        <v>3980</v>
      </c>
      <c r="F264" t="s">
        <v>3308</v>
      </c>
      <c r="G264" t="s">
        <v>3981</v>
      </c>
    </row>
    <row r="265" spans="1:7" ht="11.25" customHeight="1">
      <c r="A265" s="310" t="s">
        <v>16</v>
      </c>
      <c r="B265" t="s">
        <v>3977</v>
      </c>
      <c r="C265" t="s">
        <v>3978</v>
      </c>
      <c r="D265" t="s">
        <v>3662</v>
      </c>
      <c r="E265" t="s">
        <v>3982</v>
      </c>
      <c r="F265" t="s">
        <v>3308</v>
      </c>
      <c r="G265" t="s">
        <v>3983</v>
      </c>
    </row>
    <row r="266" spans="1:7" ht="11.25" customHeight="1">
      <c r="A266" s="310" t="s">
        <v>16</v>
      </c>
      <c r="B266" t="s">
        <v>3977</v>
      </c>
      <c r="C266" t="s">
        <v>3978</v>
      </c>
      <c r="D266" t="s">
        <v>3984</v>
      </c>
      <c r="E266" t="s">
        <v>3985</v>
      </c>
      <c r="F266" t="s">
        <v>3308</v>
      </c>
      <c r="G266" t="s">
        <v>3986</v>
      </c>
    </row>
    <row r="267" spans="1:7" ht="11.25" customHeight="1">
      <c r="A267" s="310" t="s">
        <v>16</v>
      </c>
      <c r="B267" t="s">
        <v>3977</v>
      </c>
      <c r="C267" t="s">
        <v>3978</v>
      </c>
      <c r="D267" t="s">
        <v>3987</v>
      </c>
      <c r="E267" t="s">
        <v>3988</v>
      </c>
      <c r="F267" t="s">
        <v>3308</v>
      </c>
      <c r="G267" t="s">
        <v>3989</v>
      </c>
    </row>
    <row r="268" spans="1:7" ht="11.25" customHeight="1">
      <c r="A268" s="310" t="s">
        <v>16</v>
      </c>
      <c r="B268" t="s">
        <v>3977</v>
      </c>
      <c r="C268" t="s">
        <v>3978</v>
      </c>
      <c r="D268" t="s">
        <v>3977</v>
      </c>
      <c r="E268" t="s">
        <v>3978</v>
      </c>
      <c r="F268" t="s">
        <v>3305</v>
      </c>
      <c r="G268" t="s">
        <v>3990</v>
      </c>
    </row>
    <row r="269" spans="1:7" ht="11.25" customHeight="1">
      <c r="A269" s="310" t="s">
        <v>16</v>
      </c>
      <c r="B269" t="s">
        <v>3977</v>
      </c>
      <c r="C269" t="s">
        <v>3978</v>
      </c>
      <c r="D269" t="s">
        <v>3991</v>
      </c>
      <c r="E269" t="s">
        <v>3992</v>
      </c>
      <c r="F269" t="s">
        <v>3308</v>
      </c>
      <c r="G269" t="s">
        <v>3993</v>
      </c>
    </row>
    <row r="270" spans="1:7" ht="11.25" customHeight="1">
      <c r="A270" s="310" t="s">
        <v>16</v>
      </c>
      <c r="B270" t="s">
        <v>3977</v>
      </c>
      <c r="C270" t="s">
        <v>3978</v>
      </c>
      <c r="D270" t="s">
        <v>3994</v>
      </c>
      <c r="E270" t="s">
        <v>3995</v>
      </c>
      <c r="F270" t="s">
        <v>3308</v>
      </c>
      <c r="G270" t="s">
        <v>3996</v>
      </c>
    </row>
    <row r="271" spans="1:7" ht="11.25" customHeight="1">
      <c r="A271" s="310" t="s">
        <v>16</v>
      </c>
      <c r="B271" t="s">
        <v>3977</v>
      </c>
      <c r="C271" t="s">
        <v>3978</v>
      </c>
      <c r="D271" t="s">
        <v>3997</v>
      </c>
      <c r="E271" t="s">
        <v>3998</v>
      </c>
      <c r="F271" t="s">
        <v>3308</v>
      </c>
      <c r="G271" t="s">
        <v>3999</v>
      </c>
    </row>
    <row r="272" spans="1:7" ht="11.25" customHeight="1">
      <c r="A272" s="310" t="s">
        <v>16</v>
      </c>
      <c r="B272" t="s">
        <v>4000</v>
      </c>
      <c r="C272" t="s">
        <v>4001</v>
      </c>
      <c r="D272" t="s">
        <v>4002</v>
      </c>
      <c r="E272" t="s">
        <v>4003</v>
      </c>
      <c r="F272" t="s">
        <v>3308</v>
      </c>
      <c r="G272" t="s">
        <v>4004</v>
      </c>
    </row>
    <row r="273" spans="1:7" ht="11.25" customHeight="1">
      <c r="A273" s="310" t="s">
        <v>16</v>
      </c>
      <c r="B273" t="s">
        <v>4000</v>
      </c>
      <c r="C273" t="s">
        <v>4001</v>
      </c>
      <c r="D273" t="s">
        <v>4005</v>
      </c>
      <c r="E273" t="s">
        <v>4006</v>
      </c>
      <c r="F273" t="s">
        <v>3308</v>
      </c>
      <c r="G273" t="s">
        <v>4007</v>
      </c>
    </row>
    <row r="274" spans="1:7" ht="11.25" customHeight="1">
      <c r="A274" s="310" t="s">
        <v>16</v>
      </c>
      <c r="B274" t="s">
        <v>4000</v>
      </c>
      <c r="C274" t="s">
        <v>4001</v>
      </c>
      <c r="D274" t="s">
        <v>4008</v>
      </c>
      <c r="E274" t="s">
        <v>4009</v>
      </c>
      <c r="F274" t="s">
        <v>3308</v>
      </c>
      <c r="G274" t="s">
        <v>4010</v>
      </c>
    </row>
    <row r="275" spans="1:7" ht="11.25" customHeight="1">
      <c r="A275" s="310" t="s">
        <v>16</v>
      </c>
      <c r="B275" t="s">
        <v>4000</v>
      </c>
      <c r="C275" t="s">
        <v>4001</v>
      </c>
      <c r="D275" t="s">
        <v>4011</v>
      </c>
      <c r="E275" t="s">
        <v>4012</v>
      </c>
      <c r="F275" t="s">
        <v>3308</v>
      </c>
      <c r="G275" t="s">
        <v>4013</v>
      </c>
    </row>
    <row r="276" spans="1:7" ht="11.25" customHeight="1">
      <c r="A276" s="310" t="s">
        <v>16</v>
      </c>
      <c r="B276" t="s">
        <v>4000</v>
      </c>
      <c r="C276" t="s">
        <v>4001</v>
      </c>
      <c r="D276" t="s">
        <v>4014</v>
      </c>
      <c r="E276" t="s">
        <v>4015</v>
      </c>
      <c r="F276" t="s">
        <v>3308</v>
      </c>
      <c r="G276" t="s">
        <v>4016</v>
      </c>
    </row>
    <row r="277" spans="1:7" ht="11.25" customHeight="1">
      <c r="A277" s="310" t="s">
        <v>16</v>
      </c>
      <c r="B277" t="s">
        <v>4000</v>
      </c>
      <c r="C277" t="s">
        <v>4001</v>
      </c>
      <c r="D277" t="s">
        <v>4017</v>
      </c>
      <c r="E277" t="s">
        <v>4018</v>
      </c>
      <c r="F277" t="s">
        <v>3308</v>
      </c>
      <c r="G277" t="s">
        <v>4019</v>
      </c>
    </row>
    <row r="278" spans="1:7" ht="11.25" customHeight="1">
      <c r="A278" s="310" t="s">
        <v>16</v>
      </c>
      <c r="B278" t="s">
        <v>4000</v>
      </c>
      <c r="C278" t="s">
        <v>4001</v>
      </c>
      <c r="D278" t="s">
        <v>4000</v>
      </c>
      <c r="E278" t="s">
        <v>4001</v>
      </c>
      <c r="F278" t="s">
        <v>3305</v>
      </c>
      <c r="G278" t="s">
        <v>4020</v>
      </c>
    </row>
    <row r="279" spans="1:7" ht="11.25" customHeight="1">
      <c r="A279" s="310" t="s">
        <v>16</v>
      </c>
      <c r="B279" t="s">
        <v>4000</v>
      </c>
      <c r="C279" t="s">
        <v>4001</v>
      </c>
      <c r="D279" t="s">
        <v>3763</v>
      </c>
      <c r="E279" t="s">
        <v>4021</v>
      </c>
      <c r="F279" t="s">
        <v>3308</v>
      </c>
      <c r="G279" t="s">
        <v>4022</v>
      </c>
    </row>
    <row r="280" spans="1:7" ht="11.25" customHeight="1">
      <c r="A280" s="310" t="s">
        <v>16</v>
      </c>
      <c r="B280" t="s">
        <v>4000</v>
      </c>
      <c r="C280" t="s">
        <v>4001</v>
      </c>
      <c r="D280" t="s">
        <v>4023</v>
      </c>
      <c r="E280" t="s">
        <v>4024</v>
      </c>
      <c r="F280" t="s">
        <v>3308</v>
      </c>
      <c r="G280" t="s">
        <v>4025</v>
      </c>
    </row>
    <row r="281" spans="1:7" ht="11.25" customHeight="1">
      <c r="A281" s="310" t="s">
        <v>16</v>
      </c>
      <c r="B281" t="s">
        <v>4000</v>
      </c>
      <c r="C281" t="s">
        <v>4001</v>
      </c>
      <c r="D281" t="s">
        <v>4026</v>
      </c>
      <c r="E281" t="s">
        <v>4027</v>
      </c>
      <c r="F281" t="s">
        <v>3308</v>
      </c>
      <c r="G281" t="s">
        <v>4028</v>
      </c>
    </row>
    <row r="282" spans="1:7" ht="11.25" customHeight="1">
      <c r="A282" s="310" t="s">
        <v>16</v>
      </c>
      <c r="B282" t="s">
        <v>4000</v>
      </c>
      <c r="C282" t="s">
        <v>4001</v>
      </c>
      <c r="D282" t="s">
        <v>4029</v>
      </c>
      <c r="E282" t="s">
        <v>4030</v>
      </c>
      <c r="F282" t="s">
        <v>3308</v>
      </c>
      <c r="G282" t="s">
        <v>4031</v>
      </c>
    </row>
    <row r="283" spans="1:7" ht="11.25" customHeight="1">
      <c r="A283" s="310" t="s">
        <v>16</v>
      </c>
      <c r="B283" t="s">
        <v>4000</v>
      </c>
      <c r="C283" t="s">
        <v>4001</v>
      </c>
      <c r="D283" t="s">
        <v>4032</v>
      </c>
      <c r="E283" t="s">
        <v>4033</v>
      </c>
      <c r="F283" t="s">
        <v>3308</v>
      </c>
      <c r="G283" t="s">
        <v>4034</v>
      </c>
    </row>
    <row r="284" spans="1:7" ht="11.25" customHeight="1">
      <c r="A284" s="310" t="s">
        <v>16</v>
      </c>
      <c r="B284" t="s">
        <v>4000</v>
      </c>
      <c r="C284" t="s">
        <v>4001</v>
      </c>
      <c r="D284" t="s">
        <v>4035</v>
      </c>
      <c r="E284" t="s">
        <v>4036</v>
      </c>
      <c r="F284" t="s">
        <v>3308</v>
      </c>
      <c r="G284" t="s">
        <v>4037</v>
      </c>
    </row>
    <row r="285" spans="1:7" ht="11.25" customHeight="1">
      <c r="A285" s="310" t="s">
        <v>16</v>
      </c>
      <c r="B285" t="s">
        <v>4000</v>
      </c>
      <c r="C285" t="s">
        <v>4001</v>
      </c>
      <c r="D285" t="s">
        <v>4038</v>
      </c>
      <c r="E285" t="s">
        <v>4039</v>
      </c>
      <c r="F285" t="s">
        <v>3308</v>
      </c>
      <c r="G285" t="s">
        <v>4040</v>
      </c>
    </row>
    <row r="286" spans="1:7" ht="11.25" customHeight="1">
      <c r="A286" s="310" t="s">
        <v>16</v>
      </c>
      <c r="B286" t="s">
        <v>4000</v>
      </c>
      <c r="C286" t="s">
        <v>4001</v>
      </c>
      <c r="D286" t="s">
        <v>4041</v>
      </c>
      <c r="E286" t="s">
        <v>4042</v>
      </c>
      <c r="F286" t="s">
        <v>3308</v>
      </c>
      <c r="G286" t="s">
        <v>4043</v>
      </c>
    </row>
    <row r="287" spans="1:7" ht="11.25" customHeight="1">
      <c r="A287" s="310" t="s">
        <v>16</v>
      </c>
      <c r="B287" t="s">
        <v>4000</v>
      </c>
      <c r="C287" t="s">
        <v>4001</v>
      </c>
      <c r="D287" t="s">
        <v>4044</v>
      </c>
      <c r="E287" t="s">
        <v>4045</v>
      </c>
      <c r="F287" t="s">
        <v>3308</v>
      </c>
      <c r="G287" t="s">
        <v>4046</v>
      </c>
    </row>
    <row r="288" spans="1:7" ht="11.25" customHeight="1">
      <c r="A288" s="310" t="s">
        <v>16</v>
      </c>
      <c r="B288" t="s">
        <v>4000</v>
      </c>
      <c r="C288" t="s">
        <v>4001</v>
      </c>
      <c r="D288" t="s">
        <v>4047</v>
      </c>
      <c r="E288" t="s">
        <v>4048</v>
      </c>
      <c r="F288" t="s">
        <v>3308</v>
      </c>
      <c r="G288" t="s">
        <v>4049</v>
      </c>
    </row>
    <row r="289" spans="1:7" ht="11.25" customHeight="1">
      <c r="A289" s="310" t="s">
        <v>16</v>
      </c>
      <c r="B289" t="s">
        <v>4000</v>
      </c>
      <c r="C289" t="s">
        <v>4001</v>
      </c>
      <c r="D289" t="s">
        <v>4050</v>
      </c>
      <c r="E289" t="s">
        <v>4051</v>
      </c>
      <c r="F289" t="s">
        <v>3308</v>
      </c>
      <c r="G289" t="s">
        <v>4052</v>
      </c>
    </row>
    <row r="290" spans="1:7" ht="11.25" customHeight="1">
      <c r="A290" s="310" t="s">
        <v>16</v>
      </c>
      <c r="B290" t="s">
        <v>4000</v>
      </c>
      <c r="C290" t="s">
        <v>4001</v>
      </c>
      <c r="D290" t="s">
        <v>4053</v>
      </c>
      <c r="E290" t="s">
        <v>4054</v>
      </c>
      <c r="F290" t="s">
        <v>3308</v>
      </c>
      <c r="G290" t="s">
        <v>4055</v>
      </c>
    </row>
    <row r="291" spans="1:7" ht="11.25" customHeight="1">
      <c r="A291" s="310" t="s">
        <v>16</v>
      </c>
      <c r="B291" t="s">
        <v>4056</v>
      </c>
      <c r="C291" t="s">
        <v>4057</v>
      </c>
      <c r="D291" t="s">
        <v>3306</v>
      </c>
      <c r="E291" t="s">
        <v>4058</v>
      </c>
      <c r="F291" t="s">
        <v>3308</v>
      </c>
      <c r="G291" t="s">
        <v>4059</v>
      </c>
    </row>
    <row r="292" spans="1:7" ht="11.25" customHeight="1">
      <c r="A292" s="310" t="s">
        <v>16</v>
      </c>
      <c r="B292" t="s">
        <v>4056</v>
      </c>
      <c r="C292" t="s">
        <v>4057</v>
      </c>
      <c r="D292" t="s">
        <v>3862</v>
      </c>
      <c r="E292" t="s">
        <v>4060</v>
      </c>
      <c r="F292" t="s">
        <v>3308</v>
      </c>
      <c r="G292" t="s">
        <v>4061</v>
      </c>
    </row>
    <row r="293" spans="1:7" ht="11.25" customHeight="1">
      <c r="A293" s="310" t="s">
        <v>16</v>
      </c>
      <c r="B293" t="s">
        <v>4056</v>
      </c>
      <c r="C293" t="s">
        <v>4057</v>
      </c>
      <c r="D293" t="s">
        <v>4062</v>
      </c>
      <c r="E293" t="s">
        <v>4063</v>
      </c>
      <c r="F293" t="s">
        <v>3308</v>
      </c>
      <c r="G293" t="s">
        <v>4064</v>
      </c>
    </row>
    <row r="294" spans="1:7" ht="11.25" customHeight="1">
      <c r="A294" s="310" t="s">
        <v>16</v>
      </c>
      <c r="B294" t="s">
        <v>4056</v>
      </c>
      <c r="C294" t="s">
        <v>4057</v>
      </c>
      <c r="D294" t="s">
        <v>4065</v>
      </c>
      <c r="E294" t="s">
        <v>4066</v>
      </c>
      <c r="F294" t="s">
        <v>3308</v>
      </c>
      <c r="G294" t="s">
        <v>4067</v>
      </c>
    </row>
    <row r="295" spans="1:7" ht="11.25" customHeight="1">
      <c r="A295" s="310" t="s">
        <v>16</v>
      </c>
      <c r="B295" t="s">
        <v>4056</v>
      </c>
      <c r="C295" t="s">
        <v>4057</v>
      </c>
      <c r="D295" t="s">
        <v>4068</v>
      </c>
      <c r="E295" t="s">
        <v>4069</v>
      </c>
      <c r="F295" t="s">
        <v>3308</v>
      </c>
      <c r="G295" t="s">
        <v>4070</v>
      </c>
    </row>
    <row r="296" spans="1:7" ht="11.25" customHeight="1">
      <c r="A296" s="310" t="s">
        <v>16</v>
      </c>
      <c r="B296" t="s">
        <v>4056</v>
      </c>
      <c r="C296" t="s">
        <v>4057</v>
      </c>
      <c r="D296" t="s">
        <v>4056</v>
      </c>
      <c r="E296" t="s">
        <v>4057</v>
      </c>
      <c r="F296" t="s">
        <v>3305</v>
      </c>
      <c r="G296" t="s">
        <v>4071</v>
      </c>
    </row>
    <row r="297" spans="1:7" ht="11.25" customHeight="1">
      <c r="A297" s="310" t="s">
        <v>16</v>
      </c>
      <c r="B297" t="s">
        <v>4056</v>
      </c>
      <c r="C297" t="s">
        <v>4057</v>
      </c>
      <c r="D297" t="s">
        <v>4072</v>
      </c>
      <c r="E297" t="s">
        <v>4073</v>
      </c>
      <c r="F297" t="s">
        <v>3308</v>
      </c>
      <c r="G297" t="s">
        <v>4074</v>
      </c>
    </row>
    <row r="298" spans="1:7" ht="11.25" customHeight="1">
      <c r="A298" s="310" t="s">
        <v>16</v>
      </c>
      <c r="B298" t="s">
        <v>4056</v>
      </c>
      <c r="C298" t="s">
        <v>4057</v>
      </c>
      <c r="D298" t="s">
        <v>4075</v>
      </c>
      <c r="E298" t="s">
        <v>4076</v>
      </c>
      <c r="F298" t="s">
        <v>3308</v>
      </c>
      <c r="G298" t="s">
        <v>4077</v>
      </c>
    </row>
    <row r="299" spans="1:7" ht="11.25" customHeight="1">
      <c r="A299" s="310" t="s">
        <v>16</v>
      </c>
      <c r="B299" t="s">
        <v>4078</v>
      </c>
      <c r="C299" t="s">
        <v>4079</v>
      </c>
      <c r="D299" t="s">
        <v>3862</v>
      </c>
      <c r="E299" t="s">
        <v>4080</v>
      </c>
      <c r="F299" t="s">
        <v>3308</v>
      </c>
      <c r="G299" t="s">
        <v>4081</v>
      </c>
    </row>
    <row r="300" spans="1:7" ht="11.25" customHeight="1">
      <c r="A300" s="310" t="s">
        <v>16</v>
      </c>
      <c r="B300" t="s">
        <v>4078</v>
      </c>
      <c r="C300" t="s">
        <v>4079</v>
      </c>
      <c r="D300" t="s">
        <v>4082</v>
      </c>
      <c r="E300" t="s">
        <v>4083</v>
      </c>
      <c r="F300" t="s">
        <v>3308</v>
      </c>
      <c r="G300" t="s">
        <v>4084</v>
      </c>
    </row>
    <row r="301" spans="1:7" ht="11.25" customHeight="1">
      <c r="A301" s="310" t="s">
        <v>16</v>
      </c>
      <c r="B301" t="s">
        <v>4078</v>
      </c>
      <c r="C301" t="s">
        <v>4079</v>
      </c>
      <c r="D301" t="s">
        <v>4085</v>
      </c>
      <c r="E301" t="s">
        <v>4086</v>
      </c>
      <c r="F301" t="s">
        <v>3308</v>
      </c>
      <c r="G301" t="s">
        <v>4087</v>
      </c>
    </row>
    <row r="302" spans="1:7" ht="11.25" customHeight="1">
      <c r="A302" s="310" t="s">
        <v>16</v>
      </c>
      <c r="B302" t="s">
        <v>4078</v>
      </c>
      <c r="C302" t="s">
        <v>4079</v>
      </c>
      <c r="D302" t="s">
        <v>4088</v>
      </c>
      <c r="E302" t="s">
        <v>4089</v>
      </c>
      <c r="F302" t="s">
        <v>3688</v>
      </c>
      <c r="G302" t="s">
        <v>4090</v>
      </c>
    </row>
    <row r="303" spans="1:7" ht="11.25" customHeight="1">
      <c r="A303" s="310" t="s">
        <v>16</v>
      </c>
      <c r="B303" t="s">
        <v>4078</v>
      </c>
      <c r="C303" t="s">
        <v>4079</v>
      </c>
      <c r="D303" t="s">
        <v>4091</v>
      </c>
      <c r="E303" t="s">
        <v>4092</v>
      </c>
      <c r="F303" t="s">
        <v>3308</v>
      </c>
      <c r="G303" t="s">
        <v>4093</v>
      </c>
    </row>
    <row r="304" spans="1:7" ht="11.25" customHeight="1">
      <c r="A304" s="310" t="s">
        <v>16</v>
      </c>
      <c r="B304" t="s">
        <v>4078</v>
      </c>
      <c r="C304" t="s">
        <v>4079</v>
      </c>
      <c r="D304" t="s">
        <v>4094</v>
      </c>
      <c r="E304" t="s">
        <v>4095</v>
      </c>
      <c r="F304" t="s">
        <v>3308</v>
      </c>
      <c r="G304" t="s">
        <v>4096</v>
      </c>
    </row>
    <row r="305" spans="1:7" ht="11.25" customHeight="1">
      <c r="A305" s="310" t="s">
        <v>16</v>
      </c>
      <c r="B305" t="s">
        <v>4078</v>
      </c>
      <c r="C305" t="s">
        <v>4079</v>
      </c>
      <c r="D305" t="s">
        <v>3413</v>
      </c>
      <c r="E305" t="s">
        <v>4097</v>
      </c>
      <c r="F305" t="s">
        <v>3308</v>
      </c>
      <c r="G305" t="s">
        <v>4098</v>
      </c>
    </row>
    <row r="306" spans="1:7" ht="11.25" customHeight="1">
      <c r="A306" s="310" t="s">
        <v>16</v>
      </c>
      <c r="B306" t="s">
        <v>4078</v>
      </c>
      <c r="C306" t="s">
        <v>4079</v>
      </c>
      <c r="D306" t="s">
        <v>4099</v>
      </c>
      <c r="E306" t="s">
        <v>4100</v>
      </c>
      <c r="F306" t="s">
        <v>3308</v>
      </c>
      <c r="G306" t="s">
        <v>4101</v>
      </c>
    </row>
    <row r="307" spans="1:7" ht="11.25" customHeight="1">
      <c r="A307" s="310" t="s">
        <v>16</v>
      </c>
      <c r="B307" t="s">
        <v>4078</v>
      </c>
      <c r="C307" t="s">
        <v>4079</v>
      </c>
      <c r="D307" t="s">
        <v>4102</v>
      </c>
      <c r="E307" t="s">
        <v>4103</v>
      </c>
      <c r="F307" t="s">
        <v>3308</v>
      </c>
      <c r="G307" t="s">
        <v>4104</v>
      </c>
    </row>
    <row r="308" spans="1:7" ht="11.25" customHeight="1">
      <c r="A308" s="310" t="s">
        <v>16</v>
      </c>
      <c r="B308" t="s">
        <v>4078</v>
      </c>
      <c r="C308" t="s">
        <v>4079</v>
      </c>
      <c r="D308" t="s">
        <v>4105</v>
      </c>
      <c r="E308" t="s">
        <v>4106</v>
      </c>
      <c r="F308" t="s">
        <v>3308</v>
      </c>
      <c r="G308" t="s">
        <v>4107</v>
      </c>
    </row>
    <row r="309" spans="1:7" ht="11.25" customHeight="1">
      <c r="A309" s="310" t="s">
        <v>16</v>
      </c>
      <c r="B309" t="s">
        <v>4078</v>
      </c>
      <c r="C309" t="s">
        <v>4079</v>
      </c>
      <c r="D309" t="s">
        <v>4108</v>
      </c>
      <c r="E309" t="s">
        <v>4109</v>
      </c>
      <c r="F309" t="s">
        <v>3308</v>
      </c>
      <c r="G309" t="s">
        <v>4110</v>
      </c>
    </row>
    <row r="310" spans="1:7" ht="11.25" customHeight="1">
      <c r="A310" s="310" t="s">
        <v>16</v>
      </c>
      <c r="B310" t="s">
        <v>4078</v>
      </c>
      <c r="C310" t="s">
        <v>4079</v>
      </c>
      <c r="D310" t="s">
        <v>4078</v>
      </c>
      <c r="E310" t="s">
        <v>4079</v>
      </c>
      <c r="F310" t="s">
        <v>3305</v>
      </c>
      <c r="G310" t="s">
        <v>4111</v>
      </c>
    </row>
    <row r="311" spans="1:7" ht="11.25" customHeight="1">
      <c r="A311" s="310" t="s">
        <v>16</v>
      </c>
      <c r="B311" t="s">
        <v>4078</v>
      </c>
      <c r="C311" t="s">
        <v>4079</v>
      </c>
      <c r="D311" t="s">
        <v>4112</v>
      </c>
      <c r="E311" t="s">
        <v>4113</v>
      </c>
      <c r="F311" t="s">
        <v>3308</v>
      </c>
      <c r="G311" t="s">
        <v>4114</v>
      </c>
    </row>
    <row r="312" spans="1:7" ht="11.25" customHeight="1">
      <c r="A312" s="310" t="s">
        <v>16</v>
      </c>
      <c r="B312" t="s">
        <v>156</v>
      </c>
      <c r="C312" t="s">
        <v>4115</v>
      </c>
      <c r="D312" t="s">
        <v>4116</v>
      </c>
      <c r="E312" t="s">
        <v>4117</v>
      </c>
      <c r="F312" t="s">
        <v>3308</v>
      </c>
      <c r="G312" t="s">
        <v>4118</v>
      </c>
    </row>
    <row r="313" spans="1:7" ht="11.25" customHeight="1">
      <c r="A313" s="310" t="s">
        <v>16</v>
      </c>
      <c r="B313" t="s">
        <v>156</v>
      </c>
      <c r="C313" t="s">
        <v>4115</v>
      </c>
      <c r="D313" t="s">
        <v>3602</v>
      </c>
      <c r="E313" t="s">
        <v>4119</v>
      </c>
      <c r="F313" t="s">
        <v>3308</v>
      </c>
      <c r="G313" t="s">
        <v>4120</v>
      </c>
    </row>
    <row r="314" spans="1:7" ht="11.25" customHeight="1">
      <c r="A314" s="310" t="s">
        <v>16</v>
      </c>
      <c r="B314" t="s">
        <v>156</v>
      </c>
      <c r="C314" t="s">
        <v>4115</v>
      </c>
      <c r="D314" t="s">
        <v>4121</v>
      </c>
      <c r="E314" t="s">
        <v>4122</v>
      </c>
      <c r="F314" t="s">
        <v>3308</v>
      </c>
      <c r="G314" t="s">
        <v>4123</v>
      </c>
    </row>
    <row r="315" spans="1:7" ht="11.25" customHeight="1">
      <c r="A315" s="310" t="s">
        <v>16</v>
      </c>
      <c r="B315" t="s">
        <v>156</v>
      </c>
      <c r="C315" t="s">
        <v>4115</v>
      </c>
      <c r="D315" t="s">
        <v>3634</v>
      </c>
      <c r="E315" t="s">
        <v>4124</v>
      </c>
      <c r="F315" t="s">
        <v>3308</v>
      </c>
      <c r="G315" t="s">
        <v>4125</v>
      </c>
    </row>
    <row r="316" spans="1:7" ht="11.25" customHeight="1">
      <c r="A316" s="310" t="s">
        <v>16</v>
      </c>
      <c r="B316" t="s">
        <v>156</v>
      </c>
      <c r="C316" t="s">
        <v>4115</v>
      </c>
      <c r="D316" t="s">
        <v>3612</v>
      </c>
      <c r="E316" t="s">
        <v>4126</v>
      </c>
      <c r="F316" t="s">
        <v>3308</v>
      </c>
      <c r="G316" t="s">
        <v>4127</v>
      </c>
    </row>
    <row r="317" spans="1:7" ht="11.25" customHeight="1">
      <c r="A317" s="310" t="s">
        <v>16</v>
      </c>
      <c r="B317" t="s">
        <v>156</v>
      </c>
      <c r="C317" t="s">
        <v>4115</v>
      </c>
      <c r="D317" t="s">
        <v>4128</v>
      </c>
      <c r="E317" t="s">
        <v>4129</v>
      </c>
      <c r="F317" t="s">
        <v>3308</v>
      </c>
      <c r="G317" t="s">
        <v>4130</v>
      </c>
    </row>
    <row r="318" spans="1:7" ht="11.25" customHeight="1">
      <c r="A318" s="310" t="s">
        <v>16</v>
      </c>
      <c r="B318" t="s">
        <v>156</v>
      </c>
      <c r="C318" t="s">
        <v>4115</v>
      </c>
      <c r="D318" t="s">
        <v>4131</v>
      </c>
      <c r="E318" t="s">
        <v>4132</v>
      </c>
      <c r="F318" t="s">
        <v>3308</v>
      </c>
      <c r="G318" t="s">
        <v>4133</v>
      </c>
    </row>
    <row r="319" spans="1:7" ht="11.25" customHeight="1">
      <c r="A319" s="310" t="s">
        <v>16</v>
      </c>
      <c r="B319" t="s">
        <v>156</v>
      </c>
      <c r="C319" t="s">
        <v>4115</v>
      </c>
      <c r="D319" t="s">
        <v>4134</v>
      </c>
      <c r="E319" t="s">
        <v>4135</v>
      </c>
      <c r="F319" t="s">
        <v>3308</v>
      </c>
      <c r="G319" t="s">
        <v>4136</v>
      </c>
    </row>
    <row r="320" spans="1:7" ht="11.25" customHeight="1">
      <c r="A320" s="310" t="s">
        <v>16</v>
      </c>
      <c r="B320" t="s">
        <v>156</v>
      </c>
      <c r="C320" t="s">
        <v>4115</v>
      </c>
      <c r="D320" t="s">
        <v>156</v>
      </c>
      <c r="E320" t="s">
        <v>4115</v>
      </c>
      <c r="F320" t="s">
        <v>3305</v>
      </c>
      <c r="G320" t="s">
        <v>4137</v>
      </c>
    </row>
    <row r="321" spans="1:7" ht="11.25" customHeight="1">
      <c r="A321" s="310" t="s">
        <v>16</v>
      </c>
      <c r="B321" t="s">
        <v>156</v>
      </c>
      <c r="C321" t="s">
        <v>4115</v>
      </c>
      <c r="D321" t="s">
        <v>157</v>
      </c>
      <c r="E321" t="s">
        <v>158</v>
      </c>
      <c r="F321" t="s">
        <v>3308</v>
      </c>
      <c r="G321" t="s">
        <v>155</v>
      </c>
    </row>
    <row r="322" spans="1:7" ht="11.25" customHeight="1">
      <c r="A322" s="310" t="s">
        <v>16</v>
      </c>
      <c r="B322" t="s">
        <v>156</v>
      </c>
      <c r="C322" t="s">
        <v>4115</v>
      </c>
      <c r="D322" t="s">
        <v>4138</v>
      </c>
      <c r="E322" t="s">
        <v>4139</v>
      </c>
      <c r="F322" t="s">
        <v>3308</v>
      </c>
      <c r="G322" t="s">
        <v>4140</v>
      </c>
    </row>
    <row r="323" spans="1:7" ht="11.25" customHeight="1">
      <c r="A323" s="310" t="s">
        <v>16</v>
      </c>
      <c r="B323" t="s">
        <v>156</v>
      </c>
      <c r="C323" t="s">
        <v>4115</v>
      </c>
      <c r="D323" t="s">
        <v>3803</v>
      </c>
      <c r="E323" t="s">
        <v>4141</v>
      </c>
      <c r="F323" t="s">
        <v>3308</v>
      </c>
      <c r="G323" t="s">
        <v>4142</v>
      </c>
    </row>
    <row r="324" spans="1:7" ht="11.25" customHeight="1">
      <c r="A324" s="310" t="s">
        <v>16</v>
      </c>
      <c r="B324" t="s">
        <v>137</v>
      </c>
      <c r="C324" t="s">
        <v>4143</v>
      </c>
      <c r="D324" t="s">
        <v>4144</v>
      </c>
      <c r="E324" t="s">
        <v>4145</v>
      </c>
      <c r="F324" t="s">
        <v>3308</v>
      </c>
      <c r="G324" t="s">
        <v>4146</v>
      </c>
    </row>
    <row r="325" spans="1:7" ht="11.25" customHeight="1">
      <c r="A325" s="310" t="s">
        <v>16</v>
      </c>
      <c r="B325" t="s">
        <v>137</v>
      </c>
      <c r="C325" t="s">
        <v>4143</v>
      </c>
      <c r="D325" t="s">
        <v>3522</v>
      </c>
      <c r="E325" t="s">
        <v>4147</v>
      </c>
      <c r="F325" t="s">
        <v>3308</v>
      </c>
      <c r="G325" t="s">
        <v>4148</v>
      </c>
    </row>
    <row r="326" spans="1:7" ht="11.25" customHeight="1">
      <c r="A326" s="310" t="s">
        <v>16</v>
      </c>
      <c r="B326" t="s">
        <v>137</v>
      </c>
      <c r="C326" t="s">
        <v>4143</v>
      </c>
      <c r="D326" t="s">
        <v>4149</v>
      </c>
      <c r="E326" t="s">
        <v>4150</v>
      </c>
      <c r="F326" t="s">
        <v>3308</v>
      </c>
      <c r="G326" t="s">
        <v>4151</v>
      </c>
    </row>
    <row r="327" spans="1:7" ht="11.25" customHeight="1">
      <c r="A327" s="310" t="s">
        <v>16</v>
      </c>
      <c r="B327" t="s">
        <v>137</v>
      </c>
      <c r="C327" t="s">
        <v>4143</v>
      </c>
      <c r="D327" t="s">
        <v>4152</v>
      </c>
      <c r="E327" t="s">
        <v>4153</v>
      </c>
      <c r="F327" t="s">
        <v>3308</v>
      </c>
      <c r="G327" t="s">
        <v>4154</v>
      </c>
    </row>
    <row r="328" spans="1:7" ht="11.25" customHeight="1">
      <c r="A328" s="310" t="s">
        <v>16</v>
      </c>
      <c r="B328" t="s">
        <v>137</v>
      </c>
      <c r="C328" t="s">
        <v>4143</v>
      </c>
      <c r="D328" t="s">
        <v>4155</v>
      </c>
      <c r="E328" t="s">
        <v>4156</v>
      </c>
      <c r="F328" t="s">
        <v>3308</v>
      </c>
      <c r="G328" t="s">
        <v>4157</v>
      </c>
    </row>
    <row r="329" spans="1:7" ht="11.25" customHeight="1">
      <c r="A329" s="310" t="s">
        <v>16</v>
      </c>
      <c r="B329" t="s">
        <v>137</v>
      </c>
      <c r="C329" t="s">
        <v>4143</v>
      </c>
      <c r="D329" t="s">
        <v>137</v>
      </c>
      <c r="E329" t="s">
        <v>4143</v>
      </c>
      <c r="F329" t="s">
        <v>3305</v>
      </c>
      <c r="G329" t="s">
        <v>4158</v>
      </c>
    </row>
    <row r="330" spans="1:7" ht="11.25" customHeight="1">
      <c r="A330" s="310" t="s">
        <v>16</v>
      </c>
      <c r="B330" t="s">
        <v>137</v>
      </c>
      <c r="C330" t="s">
        <v>4143</v>
      </c>
      <c r="D330" t="s">
        <v>138</v>
      </c>
      <c r="E330" t="s">
        <v>139</v>
      </c>
      <c r="F330" t="s">
        <v>3308</v>
      </c>
      <c r="G330" t="s">
        <v>136</v>
      </c>
    </row>
    <row r="331" spans="1:7" ht="11.25" customHeight="1">
      <c r="A331" s="310" t="s">
        <v>16</v>
      </c>
      <c r="B331" t="s">
        <v>137</v>
      </c>
      <c r="C331" t="s">
        <v>4143</v>
      </c>
      <c r="D331" t="s">
        <v>4159</v>
      </c>
      <c r="E331" t="s">
        <v>4160</v>
      </c>
      <c r="F331" t="s">
        <v>3308</v>
      </c>
      <c r="G331" t="s">
        <v>4161</v>
      </c>
    </row>
    <row r="332" spans="1:7" ht="11.25" customHeight="1">
      <c r="A332" s="310" t="s">
        <v>16</v>
      </c>
      <c r="B332" t="s">
        <v>137</v>
      </c>
      <c r="C332" t="s">
        <v>4143</v>
      </c>
      <c r="D332" t="s">
        <v>4162</v>
      </c>
      <c r="E332" t="s">
        <v>4163</v>
      </c>
      <c r="F332" t="s">
        <v>3308</v>
      </c>
      <c r="G332" t="s">
        <v>4164</v>
      </c>
    </row>
    <row r="333" spans="1:7" ht="11.25" customHeight="1">
      <c r="A333" s="310" t="s">
        <v>16</v>
      </c>
      <c r="B333" t="s">
        <v>137</v>
      </c>
      <c r="C333" t="s">
        <v>4143</v>
      </c>
      <c r="D333" t="s">
        <v>4165</v>
      </c>
      <c r="E333" t="s">
        <v>4166</v>
      </c>
      <c r="F333" t="s">
        <v>3308</v>
      </c>
      <c r="G333" t="s">
        <v>4167</v>
      </c>
    </row>
    <row r="334" spans="1:7" ht="11.25" customHeight="1">
      <c r="A334" s="310" t="s">
        <v>16</v>
      </c>
      <c r="B334" t="s">
        <v>4168</v>
      </c>
      <c r="C334" t="s">
        <v>4169</v>
      </c>
      <c r="D334" t="s">
        <v>4170</v>
      </c>
      <c r="E334" t="s">
        <v>4171</v>
      </c>
      <c r="F334" t="s">
        <v>3308</v>
      </c>
      <c r="G334" t="s">
        <v>4172</v>
      </c>
    </row>
    <row r="335" spans="1:7" ht="11.25" customHeight="1">
      <c r="A335" s="310" t="s">
        <v>16</v>
      </c>
      <c r="B335" t="s">
        <v>4168</v>
      </c>
      <c r="C335" t="s">
        <v>4169</v>
      </c>
      <c r="D335" t="s">
        <v>4173</v>
      </c>
      <c r="E335" t="s">
        <v>4174</v>
      </c>
      <c r="F335" t="s">
        <v>3308</v>
      </c>
      <c r="G335" t="s">
        <v>4175</v>
      </c>
    </row>
    <row r="336" spans="1:7" ht="11.25" customHeight="1">
      <c r="A336" s="310" t="s">
        <v>16</v>
      </c>
      <c r="B336" t="s">
        <v>4168</v>
      </c>
      <c r="C336" t="s">
        <v>4169</v>
      </c>
      <c r="D336" t="s">
        <v>4176</v>
      </c>
      <c r="E336" t="s">
        <v>4177</v>
      </c>
      <c r="F336" t="s">
        <v>3308</v>
      </c>
      <c r="G336" t="s">
        <v>4178</v>
      </c>
    </row>
    <row r="337" spans="1:7" ht="11.25" customHeight="1">
      <c r="A337" s="310" t="s">
        <v>16</v>
      </c>
      <c r="B337" t="s">
        <v>4168</v>
      </c>
      <c r="C337" t="s">
        <v>4169</v>
      </c>
      <c r="D337" t="s">
        <v>4179</v>
      </c>
      <c r="E337" t="s">
        <v>4180</v>
      </c>
      <c r="F337" t="s">
        <v>3308</v>
      </c>
      <c r="G337" t="s">
        <v>4181</v>
      </c>
    </row>
    <row r="338" spans="1:7" ht="11.25" customHeight="1">
      <c r="A338" s="310" t="s">
        <v>16</v>
      </c>
      <c r="B338" t="s">
        <v>4168</v>
      </c>
      <c r="C338" t="s">
        <v>4169</v>
      </c>
      <c r="D338" t="s">
        <v>3763</v>
      </c>
      <c r="E338" t="s">
        <v>4182</v>
      </c>
      <c r="F338" t="s">
        <v>3308</v>
      </c>
      <c r="G338" t="s">
        <v>4183</v>
      </c>
    </row>
    <row r="339" spans="1:7" ht="11.25" customHeight="1">
      <c r="A339" s="310" t="s">
        <v>16</v>
      </c>
      <c r="B339" t="s">
        <v>4168</v>
      </c>
      <c r="C339" t="s">
        <v>4169</v>
      </c>
      <c r="D339" t="s">
        <v>4184</v>
      </c>
      <c r="E339" t="s">
        <v>4185</v>
      </c>
      <c r="F339" t="s">
        <v>3308</v>
      </c>
      <c r="G339" t="s">
        <v>4186</v>
      </c>
    </row>
    <row r="340" spans="1:7" ht="11.25" customHeight="1">
      <c r="A340" s="310" t="s">
        <v>16</v>
      </c>
      <c r="B340" t="s">
        <v>4168</v>
      </c>
      <c r="C340" t="s">
        <v>4169</v>
      </c>
      <c r="D340" t="s">
        <v>4187</v>
      </c>
      <c r="E340" t="s">
        <v>4188</v>
      </c>
      <c r="F340" t="s">
        <v>3308</v>
      </c>
      <c r="G340" t="s">
        <v>4189</v>
      </c>
    </row>
    <row r="341" spans="1:7" ht="11.25" customHeight="1">
      <c r="A341" s="310" t="s">
        <v>16</v>
      </c>
      <c r="B341" t="s">
        <v>4168</v>
      </c>
      <c r="C341" t="s">
        <v>4169</v>
      </c>
      <c r="D341" t="s">
        <v>4168</v>
      </c>
      <c r="E341" t="s">
        <v>4169</v>
      </c>
      <c r="F341" t="s">
        <v>3305</v>
      </c>
      <c r="G341" t="s">
        <v>4190</v>
      </c>
    </row>
    <row r="342" spans="1:7" ht="11.25" customHeight="1">
      <c r="A342" s="310" t="s">
        <v>16</v>
      </c>
      <c r="B342" t="s">
        <v>4168</v>
      </c>
      <c r="C342" t="s">
        <v>4169</v>
      </c>
      <c r="D342" t="s">
        <v>4191</v>
      </c>
      <c r="E342" t="s">
        <v>4192</v>
      </c>
      <c r="F342" t="s">
        <v>3345</v>
      </c>
      <c r="G342" t="s">
        <v>4193</v>
      </c>
    </row>
    <row r="343" spans="1:7" ht="11.25" customHeight="1">
      <c r="A343" s="310" t="s">
        <v>16</v>
      </c>
      <c r="B343" t="s">
        <v>4168</v>
      </c>
      <c r="C343" t="s">
        <v>4169</v>
      </c>
      <c r="D343" t="s">
        <v>4194</v>
      </c>
      <c r="E343" t="s">
        <v>4195</v>
      </c>
      <c r="F343" t="s">
        <v>3308</v>
      </c>
      <c r="G343" t="s">
        <v>4196</v>
      </c>
    </row>
    <row r="344" spans="1:7" ht="11.25" customHeight="1">
      <c r="A344" s="310" t="s">
        <v>16</v>
      </c>
      <c r="B344" t="s">
        <v>4168</v>
      </c>
      <c r="C344" t="s">
        <v>4169</v>
      </c>
      <c r="D344" t="s">
        <v>4197</v>
      </c>
      <c r="E344" t="s">
        <v>4198</v>
      </c>
      <c r="F344" t="s">
        <v>3308</v>
      </c>
      <c r="G344" t="s">
        <v>4199</v>
      </c>
    </row>
    <row r="345" spans="1:7" ht="11.25" customHeight="1">
      <c r="A345" s="310" t="s">
        <v>16</v>
      </c>
      <c r="B345" t="s">
        <v>164</v>
      </c>
      <c r="C345" t="s">
        <v>4200</v>
      </c>
      <c r="D345" t="s">
        <v>4201</v>
      </c>
      <c r="E345" t="s">
        <v>4202</v>
      </c>
      <c r="F345" t="s">
        <v>3308</v>
      </c>
      <c r="G345" t="s">
        <v>4203</v>
      </c>
    </row>
    <row r="346" spans="1:7" ht="11.25" customHeight="1">
      <c r="A346" s="310" t="s">
        <v>16</v>
      </c>
      <c r="B346" t="s">
        <v>164</v>
      </c>
      <c r="C346" t="s">
        <v>4200</v>
      </c>
      <c r="D346" t="s">
        <v>4204</v>
      </c>
      <c r="E346" t="s">
        <v>4205</v>
      </c>
      <c r="F346" t="s">
        <v>3308</v>
      </c>
      <c r="G346" t="s">
        <v>4206</v>
      </c>
    </row>
    <row r="347" spans="1:7" ht="11.25" customHeight="1">
      <c r="A347" s="310" t="s">
        <v>16</v>
      </c>
      <c r="B347" t="s">
        <v>164</v>
      </c>
      <c r="C347" t="s">
        <v>4200</v>
      </c>
      <c r="D347" t="s">
        <v>3662</v>
      </c>
      <c r="E347" t="s">
        <v>4207</v>
      </c>
      <c r="F347" t="s">
        <v>3308</v>
      </c>
      <c r="G347" t="s">
        <v>4208</v>
      </c>
    </row>
    <row r="348" spans="1:7" ht="11.25" customHeight="1">
      <c r="A348" s="310" t="s">
        <v>16</v>
      </c>
      <c r="B348" t="s">
        <v>164</v>
      </c>
      <c r="C348" t="s">
        <v>4200</v>
      </c>
      <c r="D348" t="s">
        <v>3733</v>
      </c>
      <c r="E348" t="s">
        <v>4209</v>
      </c>
      <c r="F348" t="s">
        <v>3308</v>
      </c>
      <c r="G348" t="s">
        <v>4210</v>
      </c>
    </row>
    <row r="349" spans="1:7" ht="11.25" customHeight="1">
      <c r="A349" s="310" t="s">
        <v>16</v>
      </c>
      <c r="B349" t="s">
        <v>164</v>
      </c>
      <c r="C349" t="s">
        <v>4200</v>
      </c>
      <c r="D349" t="s">
        <v>4211</v>
      </c>
      <c r="E349" t="s">
        <v>4212</v>
      </c>
      <c r="F349" t="s">
        <v>3308</v>
      </c>
      <c r="G349" t="s">
        <v>4213</v>
      </c>
    </row>
    <row r="350" spans="1:7" ht="11.25" customHeight="1">
      <c r="A350" s="310" t="s">
        <v>16</v>
      </c>
      <c r="B350" t="s">
        <v>164</v>
      </c>
      <c r="C350" t="s">
        <v>4200</v>
      </c>
      <c r="D350" t="s">
        <v>4214</v>
      </c>
      <c r="E350" t="s">
        <v>4215</v>
      </c>
      <c r="F350" t="s">
        <v>3308</v>
      </c>
      <c r="G350" t="s">
        <v>4216</v>
      </c>
    </row>
    <row r="351" spans="1:7" ht="11.25" customHeight="1">
      <c r="A351" s="310" t="s">
        <v>16</v>
      </c>
      <c r="B351" t="s">
        <v>164</v>
      </c>
      <c r="C351" t="s">
        <v>4200</v>
      </c>
      <c r="D351" t="s">
        <v>3736</v>
      </c>
      <c r="E351" t="s">
        <v>4217</v>
      </c>
      <c r="F351" t="s">
        <v>3308</v>
      </c>
      <c r="G351" t="s">
        <v>4218</v>
      </c>
    </row>
    <row r="352" spans="1:7" ht="11.25" customHeight="1">
      <c r="A352" s="310" t="s">
        <v>16</v>
      </c>
      <c r="B352" t="s">
        <v>164</v>
      </c>
      <c r="C352" t="s">
        <v>4200</v>
      </c>
      <c r="D352" t="s">
        <v>4219</v>
      </c>
      <c r="E352" t="s">
        <v>4220</v>
      </c>
      <c r="F352" t="s">
        <v>3308</v>
      </c>
      <c r="G352" t="s">
        <v>4221</v>
      </c>
    </row>
    <row r="353" spans="1:7" ht="11.25" customHeight="1">
      <c r="A353" s="310" t="s">
        <v>16</v>
      </c>
      <c r="B353" t="s">
        <v>164</v>
      </c>
      <c r="C353" t="s">
        <v>4200</v>
      </c>
      <c r="D353" t="s">
        <v>4222</v>
      </c>
      <c r="E353" t="s">
        <v>4223</v>
      </c>
      <c r="F353" t="s">
        <v>3308</v>
      </c>
      <c r="G353" t="s">
        <v>4224</v>
      </c>
    </row>
    <row r="354" spans="1:7" ht="11.25" customHeight="1">
      <c r="A354" s="310" t="s">
        <v>16</v>
      </c>
      <c r="B354" t="s">
        <v>164</v>
      </c>
      <c r="C354" t="s">
        <v>4200</v>
      </c>
      <c r="D354" t="s">
        <v>164</v>
      </c>
      <c r="E354" t="s">
        <v>4200</v>
      </c>
      <c r="F354" t="s">
        <v>3305</v>
      </c>
      <c r="G354" t="s">
        <v>4225</v>
      </c>
    </row>
    <row r="355" spans="1:7" ht="11.25" customHeight="1">
      <c r="A355" s="310" t="s">
        <v>16</v>
      </c>
      <c r="B355" t="s">
        <v>164</v>
      </c>
      <c r="C355" t="s">
        <v>4200</v>
      </c>
      <c r="D355" t="s">
        <v>165</v>
      </c>
      <c r="E355" t="s">
        <v>166</v>
      </c>
      <c r="F355" t="s">
        <v>3308</v>
      </c>
      <c r="G355" t="s">
        <v>163</v>
      </c>
    </row>
    <row r="356" spans="1:7" ht="11.25" customHeight="1">
      <c r="A356" s="310" t="s">
        <v>16</v>
      </c>
      <c r="B356" t="s">
        <v>4226</v>
      </c>
      <c r="C356" t="s">
        <v>4227</v>
      </c>
      <c r="D356" t="s">
        <v>4228</v>
      </c>
      <c r="E356" t="s">
        <v>4229</v>
      </c>
      <c r="F356" t="s">
        <v>3308</v>
      </c>
      <c r="G356" t="s">
        <v>4230</v>
      </c>
    </row>
    <row r="357" spans="1:7" ht="11.25" customHeight="1">
      <c r="A357" s="310" t="s">
        <v>16</v>
      </c>
      <c r="B357" t="s">
        <v>4226</v>
      </c>
      <c r="C357" t="s">
        <v>4227</v>
      </c>
      <c r="D357" t="s">
        <v>4231</v>
      </c>
      <c r="E357" t="s">
        <v>4232</v>
      </c>
      <c r="F357" t="s">
        <v>3308</v>
      </c>
      <c r="G357" t="s">
        <v>4233</v>
      </c>
    </row>
    <row r="358" spans="1:7" ht="11.25" customHeight="1">
      <c r="A358" s="310" t="s">
        <v>16</v>
      </c>
      <c r="B358" t="s">
        <v>4226</v>
      </c>
      <c r="C358" t="s">
        <v>4227</v>
      </c>
      <c r="D358" t="s">
        <v>4234</v>
      </c>
      <c r="E358" t="s">
        <v>4235</v>
      </c>
      <c r="F358" t="s">
        <v>3308</v>
      </c>
      <c r="G358" t="s">
        <v>4236</v>
      </c>
    </row>
    <row r="359" spans="1:7" ht="11.25" customHeight="1">
      <c r="A359" s="310" t="s">
        <v>16</v>
      </c>
      <c r="B359" t="s">
        <v>4226</v>
      </c>
      <c r="C359" t="s">
        <v>4227</v>
      </c>
      <c r="D359" t="s">
        <v>3891</v>
      </c>
      <c r="E359" t="s">
        <v>4237</v>
      </c>
      <c r="F359" t="s">
        <v>3308</v>
      </c>
      <c r="G359" t="s">
        <v>4238</v>
      </c>
    </row>
    <row r="360" spans="1:7" ht="11.25" customHeight="1">
      <c r="A360" s="310" t="s">
        <v>16</v>
      </c>
      <c r="B360" t="s">
        <v>4226</v>
      </c>
      <c r="C360" t="s">
        <v>4227</v>
      </c>
      <c r="D360" t="s">
        <v>3640</v>
      </c>
      <c r="E360" t="s">
        <v>4239</v>
      </c>
      <c r="F360" t="s">
        <v>3308</v>
      </c>
      <c r="G360" t="s">
        <v>4240</v>
      </c>
    </row>
    <row r="361" spans="1:7" ht="11.25" customHeight="1">
      <c r="A361" s="310" t="s">
        <v>16</v>
      </c>
      <c r="B361" t="s">
        <v>4226</v>
      </c>
      <c r="C361" t="s">
        <v>4227</v>
      </c>
      <c r="D361" t="s">
        <v>4226</v>
      </c>
      <c r="E361" t="s">
        <v>4227</v>
      </c>
      <c r="F361" t="s">
        <v>3305</v>
      </c>
      <c r="G361" t="s">
        <v>4241</v>
      </c>
    </row>
    <row r="362" spans="1:7" ht="11.25" customHeight="1">
      <c r="A362" s="310" t="s">
        <v>16</v>
      </c>
      <c r="B362" t="s">
        <v>4226</v>
      </c>
      <c r="C362" t="s">
        <v>4227</v>
      </c>
      <c r="D362" t="s">
        <v>4242</v>
      </c>
      <c r="E362" t="s">
        <v>4243</v>
      </c>
      <c r="F362" t="s">
        <v>3308</v>
      </c>
      <c r="G362" t="s">
        <v>4244</v>
      </c>
    </row>
    <row r="363" spans="1:7" ht="11.25" customHeight="1">
      <c r="A363" s="310" t="s">
        <v>16</v>
      </c>
      <c r="B363" t="s">
        <v>133</v>
      </c>
      <c r="C363" t="s">
        <v>4245</v>
      </c>
      <c r="D363" t="s">
        <v>4170</v>
      </c>
      <c r="E363" t="s">
        <v>4246</v>
      </c>
      <c r="F363" t="s">
        <v>3308</v>
      </c>
      <c r="G363" t="s">
        <v>4247</v>
      </c>
    </row>
    <row r="364" spans="1:7" ht="11.25" customHeight="1">
      <c r="A364" s="310" t="s">
        <v>16</v>
      </c>
      <c r="B364" t="s">
        <v>133</v>
      </c>
      <c r="C364" t="s">
        <v>4245</v>
      </c>
      <c r="D364" t="s">
        <v>4248</v>
      </c>
      <c r="E364" t="s">
        <v>4249</v>
      </c>
      <c r="F364" t="s">
        <v>3308</v>
      </c>
      <c r="G364" t="s">
        <v>4250</v>
      </c>
    </row>
    <row r="365" spans="1:7" ht="11.25" customHeight="1">
      <c r="A365" s="310" t="s">
        <v>16</v>
      </c>
      <c r="B365" t="s">
        <v>133</v>
      </c>
      <c r="C365" t="s">
        <v>4245</v>
      </c>
      <c r="D365" t="s">
        <v>3871</v>
      </c>
      <c r="E365" t="s">
        <v>4251</v>
      </c>
      <c r="F365" t="s">
        <v>3308</v>
      </c>
      <c r="G365" t="s">
        <v>4252</v>
      </c>
    </row>
    <row r="366" spans="1:7" ht="11.25" customHeight="1">
      <c r="A366" s="310" t="s">
        <v>16</v>
      </c>
      <c r="B366" t="s">
        <v>133</v>
      </c>
      <c r="C366" t="s">
        <v>4245</v>
      </c>
      <c r="D366" t="s">
        <v>4253</v>
      </c>
      <c r="E366" t="s">
        <v>4254</v>
      </c>
      <c r="F366" t="s">
        <v>3308</v>
      </c>
      <c r="G366" t="s">
        <v>4255</v>
      </c>
    </row>
    <row r="367" spans="1:7" ht="11.25" customHeight="1">
      <c r="A367" s="310" t="s">
        <v>16</v>
      </c>
      <c r="B367" t="s">
        <v>133</v>
      </c>
      <c r="C367" t="s">
        <v>4245</v>
      </c>
      <c r="D367" t="s">
        <v>4256</v>
      </c>
      <c r="E367" t="s">
        <v>4257</v>
      </c>
      <c r="F367" t="s">
        <v>3308</v>
      </c>
      <c r="G367" t="s">
        <v>4258</v>
      </c>
    </row>
    <row r="368" spans="1:7" ht="11.25" customHeight="1">
      <c r="A368" s="310" t="s">
        <v>16</v>
      </c>
      <c r="B368" t="s">
        <v>133</v>
      </c>
      <c r="C368" t="s">
        <v>4245</v>
      </c>
      <c r="D368" t="s">
        <v>3376</v>
      </c>
      <c r="E368" t="s">
        <v>4259</v>
      </c>
      <c r="F368" t="s">
        <v>3308</v>
      </c>
      <c r="G368" t="s">
        <v>4260</v>
      </c>
    </row>
    <row r="369" spans="1:7" ht="11.25" customHeight="1">
      <c r="A369" s="310" t="s">
        <v>16</v>
      </c>
      <c r="B369" t="s">
        <v>133</v>
      </c>
      <c r="C369" t="s">
        <v>4245</v>
      </c>
      <c r="D369" t="s">
        <v>4261</v>
      </c>
      <c r="E369" t="s">
        <v>4262</v>
      </c>
      <c r="F369" t="s">
        <v>3308</v>
      </c>
      <c r="G369" t="s">
        <v>4263</v>
      </c>
    </row>
    <row r="370" spans="1:7" ht="11.25" customHeight="1">
      <c r="A370" s="310" t="s">
        <v>16</v>
      </c>
      <c r="B370" t="s">
        <v>133</v>
      </c>
      <c r="C370" t="s">
        <v>4245</v>
      </c>
      <c r="D370" t="s">
        <v>4264</v>
      </c>
      <c r="E370" t="s">
        <v>4265</v>
      </c>
      <c r="F370" t="s">
        <v>3308</v>
      </c>
      <c r="G370" t="s">
        <v>4266</v>
      </c>
    </row>
    <row r="371" spans="1:7" ht="11.25" customHeight="1">
      <c r="A371" s="310" t="s">
        <v>16</v>
      </c>
      <c r="B371" t="s">
        <v>133</v>
      </c>
      <c r="C371" t="s">
        <v>4245</v>
      </c>
      <c r="D371" t="s">
        <v>133</v>
      </c>
      <c r="E371" t="s">
        <v>4245</v>
      </c>
      <c r="F371" t="s">
        <v>3305</v>
      </c>
      <c r="G371" t="s">
        <v>4267</v>
      </c>
    </row>
    <row r="372" spans="1:7" ht="11.25" customHeight="1">
      <c r="A372" s="310" t="s">
        <v>16</v>
      </c>
      <c r="B372" t="s">
        <v>133</v>
      </c>
      <c r="C372" t="s">
        <v>4245</v>
      </c>
      <c r="D372" t="s">
        <v>134</v>
      </c>
      <c r="E372" t="s">
        <v>135</v>
      </c>
      <c r="F372" t="s">
        <v>3345</v>
      </c>
      <c r="G372" t="s">
        <v>132</v>
      </c>
    </row>
    <row r="373" spans="1:7" ht="11.25" customHeight="1">
      <c r="A373" s="310" t="s">
        <v>16</v>
      </c>
      <c r="B373" t="s">
        <v>133</v>
      </c>
      <c r="C373" t="s">
        <v>4245</v>
      </c>
      <c r="D373" t="s">
        <v>4268</v>
      </c>
      <c r="E373" t="s">
        <v>4269</v>
      </c>
      <c r="F373" t="s">
        <v>3308</v>
      </c>
      <c r="G373" t="s">
        <v>4270</v>
      </c>
    </row>
    <row r="374" spans="1:7" ht="11.25" customHeight="1">
      <c r="A374" s="310" t="s">
        <v>16</v>
      </c>
      <c r="B374" t="s">
        <v>133</v>
      </c>
      <c r="C374" t="s">
        <v>4245</v>
      </c>
      <c r="D374" t="s">
        <v>4271</v>
      </c>
      <c r="E374" t="s">
        <v>4272</v>
      </c>
      <c r="F374" t="s">
        <v>3308</v>
      </c>
      <c r="G374" t="s">
        <v>4273</v>
      </c>
    </row>
    <row r="375" spans="1:7" ht="11.25" customHeight="1">
      <c r="A375" s="310" t="s">
        <v>16</v>
      </c>
      <c r="B375" t="s">
        <v>4274</v>
      </c>
      <c r="C375" t="s">
        <v>4275</v>
      </c>
      <c r="D375" t="s">
        <v>4276</v>
      </c>
      <c r="E375" t="s">
        <v>4277</v>
      </c>
      <c r="F375" t="s">
        <v>3308</v>
      </c>
      <c r="G375" t="s">
        <v>4278</v>
      </c>
    </row>
    <row r="376" spans="1:7" ht="11.25" customHeight="1">
      <c r="A376" s="310" t="s">
        <v>16</v>
      </c>
      <c r="B376" t="s">
        <v>4274</v>
      </c>
      <c r="C376" t="s">
        <v>4275</v>
      </c>
      <c r="D376" t="s">
        <v>4279</v>
      </c>
      <c r="E376" t="s">
        <v>4280</v>
      </c>
      <c r="F376" t="s">
        <v>3308</v>
      </c>
      <c r="G376" t="s">
        <v>4281</v>
      </c>
    </row>
    <row r="377" spans="1:7" ht="11.25" customHeight="1">
      <c r="A377" s="310" t="s">
        <v>16</v>
      </c>
      <c r="B377" t="s">
        <v>4274</v>
      </c>
      <c r="C377" t="s">
        <v>4275</v>
      </c>
      <c r="D377" t="s">
        <v>4282</v>
      </c>
      <c r="E377" t="s">
        <v>4283</v>
      </c>
      <c r="F377" t="s">
        <v>3308</v>
      </c>
      <c r="G377" t="s">
        <v>4284</v>
      </c>
    </row>
    <row r="378" spans="1:7" ht="11.25" customHeight="1">
      <c r="A378" s="310" t="s">
        <v>16</v>
      </c>
      <c r="B378" t="s">
        <v>4274</v>
      </c>
      <c r="C378" t="s">
        <v>4275</v>
      </c>
      <c r="D378" t="s">
        <v>4285</v>
      </c>
      <c r="E378" t="s">
        <v>4286</v>
      </c>
      <c r="F378" t="s">
        <v>3308</v>
      </c>
      <c r="G378" t="s">
        <v>4287</v>
      </c>
    </row>
    <row r="379" spans="1:7" ht="11.25" customHeight="1">
      <c r="A379" s="310" t="s">
        <v>16</v>
      </c>
      <c r="B379" t="s">
        <v>4274</v>
      </c>
      <c r="C379" t="s">
        <v>4275</v>
      </c>
      <c r="D379" t="s">
        <v>4288</v>
      </c>
      <c r="E379" t="s">
        <v>4289</v>
      </c>
      <c r="F379" t="s">
        <v>3308</v>
      </c>
      <c r="G379" t="s">
        <v>4290</v>
      </c>
    </row>
    <row r="380" spans="1:7" ht="11.25" customHeight="1">
      <c r="A380" s="310" t="s">
        <v>16</v>
      </c>
      <c r="B380" t="s">
        <v>4274</v>
      </c>
      <c r="C380" t="s">
        <v>4275</v>
      </c>
      <c r="D380" t="s">
        <v>4291</v>
      </c>
      <c r="E380" t="s">
        <v>4292</v>
      </c>
      <c r="F380" t="s">
        <v>3308</v>
      </c>
      <c r="G380" t="s">
        <v>4293</v>
      </c>
    </row>
    <row r="381" spans="1:7" ht="11.25" customHeight="1">
      <c r="A381" s="310" t="s">
        <v>16</v>
      </c>
      <c r="B381" t="s">
        <v>4274</v>
      </c>
      <c r="C381" t="s">
        <v>4275</v>
      </c>
      <c r="D381" t="s">
        <v>4294</v>
      </c>
      <c r="E381" t="s">
        <v>4295</v>
      </c>
      <c r="F381" t="s">
        <v>3308</v>
      </c>
      <c r="G381" t="s">
        <v>4296</v>
      </c>
    </row>
    <row r="382" spans="1:7" ht="11.25" customHeight="1">
      <c r="A382" s="310" t="s">
        <v>16</v>
      </c>
      <c r="B382" t="s">
        <v>4274</v>
      </c>
      <c r="C382" t="s">
        <v>4275</v>
      </c>
      <c r="D382" t="s">
        <v>4274</v>
      </c>
      <c r="E382" t="s">
        <v>4275</v>
      </c>
      <c r="F382" t="s">
        <v>3305</v>
      </c>
      <c r="G382" t="s">
        <v>4297</v>
      </c>
    </row>
    <row r="383" spans="1:7" ht="11.25" customHeight="1">
      <c r="A383" s="310" t="s">
        <v>16</v>
      </c>
      <c r="B383" t="s">
        <v>4274</v>
      </c>
      <c r="C383" t="s">
        <v>4275</v>
      </c>
      <c r="D383" t="s">
        <v>4298</v>
      </c>
      <c r="E383" t="s">
        <v>4299</v>
      </c>
      <c r="F383" t="s">
        <v>3345</v>
      </c>
      <c r="G383" t="s">
        <v>4300</v>
      </c>
    </row>
    <row r="384" spans="1:7" ht="11.25" customHeight="1">
      <c r="A384" s="310" t="s">
        <v>16</v>
      </c>
      <c r="B384" t="s">
        <v>4274</v>
      </c>
      <c r="C384" t="s">
        <v>4275</v>
      </c>
      <c r="D384" t="s">
        <v>4301</v>
      </c>
      <c r="E384" t="s">
        <v>4302</v>
      </c>
      <c r="F384" t="s">
        <v>3308</v>
      </c>
      <c r="G384" t="s">
        <v>4303</v>
      </c>
    </row>
    <row r="385" spans="1:7" ht="11.25" customHeight="1">
      <c r="A385" s="310" t="s">
        <v>16</v>
      </c>
      <c r="B385" t="s">
        <v>4274</v>
      </c>
      <c r="C385" t="s">
        <v>4275</v>
      </c>
      <c r="D385" t="s">
        <v>4304</v>
      </c>
      <c r="E385" t="s">
        <v>4305</v>
      </c>
      <c r="F385" t="s">
        <v>3308</v>
      </c>
      <c r="G385" t="s">
        <v>4306</v>
      </c>
    </row>
    <row r="386" spans="1:7" ht="11.25" customHeight="1">
      <c r="A386" s="310" t="s">
        <v>16</v>
      </c>
      <c r="B386" t="s">
        <v>4307</v>
      </c>
      <c r="C386" t="s">
        <v>4308</v>
      </c>
      <c r="D386" t="s">
        <v>4309</v>
      </c>
      <c r="E386" t="s">
        <v>4310</v>
      </c>
      <c r="F386" t="s">
        <v>3308</v>
      </c>
      <c r="G386" t="s">
        <v>4311</v>
      </c>
    </row>
    <row r="387" spans="1:7" ht="11.25" customHeight="1">
      <c r="A387" s="310" t="s">
        <v>16</v>
      </c>
      <c r="B387" t="s">
        <v>4307</v>
      </c>
      <c r="C387" t="s">
        <v>4308</v>
      </c>
      <c r="D387" t="s">
        <v>4307</v>
      </c>
      <c r="E387" t="s">
        <v>4308</v>
      </c>
      <c r="F387" t="s">
        <v>3305</v>
      </c>
      <c r="G387" t="s">
        <v>4312</v>
      </c>
    </row>
    <row r="388" spans="1:7" ht="11.25" customHeight="1">
      <c r="A388" s="310" t="s">
        <v>16</v>
      </c>
      <c r="B388" t="s">
        <v>4307</v>
      </c>
      <c r="C388" t="s">
        <v>4308</v>
      </c>
      <c r="D388" t="s">
        <v>4313</v>
      </c>
      <c r="E388" t="s">
        <v>4314</v>
      </c>
      <c r="F388" t="s">
        <v>3308</v>
      </c>
      <c r="G388" t="s">
        <v>4315</v>
      </c>
    </row>
    <row r="389" spans="1:7" ht="11.25" customHeight="1">
      <c r="A389" s="310" t="s">
        <v>16</v>
      </c>
      <c r="B389" t="s">
        <v>4307</v>
      </c>
      <c r="C389" t="s">
        <v>4308</v>
      </c>
      <c r="D389" t="s">
        <v>4316</v>
      </c>
      <c r="E389" t="s">
        <v>4317</v>
      </c>
      <c r="F389" t="s">
        <v>3308</v>
      </c>
      <c r="G389" t="s">
        <v>4318</v>
      </c>
    </row>
    <row r="390" spans="1:7" ht="11.25" customHeight="1">
      <c r="A390" s="310" t="s">
        <v>16</v>
      </c>
      <c r="B390" t="s">
        <v>4319</v>
      </c>
      <c r="C390" t="s">
        <v>4320</v>
      </c>
      <c r="D390" t="s">
        <v>4321</v>
      </c>
      <c r="E390" t="s">
        <v>4322</v>
      </c>
      <c r="F390" t="s">
        <v>3308</v>
      </c>
      <c r="G390" t="s">
        <v>4323</v>
      </c>
    </row>
    <row r="391" spans="1:7" ht="11.25" customHeight="1">
      <c r="A391" s="310" t="s">
        <v>16</v>
      </c>
      <c r="B391" t="s">
        <v>4319</v>
      </c>
      <c r="C391" t="s">
        <v>4320</v>
      </c>
      <c r="D391" t="s">
        <v>4324</v>
      </c>
      <c r="E391" t="s">
        <v>4325</v>
      </c>
      <c r="F391" t="s">
        <v>3308</v>
      </c>
      <c r="G391" t="s">
        <v>4326</v>
      </c>
    </row>
    <row r="392" spans="1:7" ht="11.25" customHeight="1">
      <c r="A392" s="310" t="s">
        <v>16</v>
      </c>
      <c r="B392" t="s">
        <v>4319</v>
      </c>
      <c r="C392" t="s">
        <v>4320</v>
      </c>
      <c r="D392" t="s">
        <v>4327</v>
      </c>
      <c r="E392" t="s">
        <v>4328</v>
      </c>
      <c r="F392" t="s">
        <v>3308</v>
      </c>
      <c r="G392" t="s">
        <v>4329</v>
      </c>
    </row>
    <row r="393" spans="1:7" ht="11.25" customHeight="1">
      <c r="A393" s="310" t="s">
        <v>16</v>
      </c>
      <c r="B393" t="s">
        <v>4319</v>
      </c>
      <c r="C393" t="s">
        <v>4320</v>
      </c>
      <c r="D393" t="s">
        <v>4330</v>
      </c>
      <c r="E393" t="s">
        <v>4331</v>
      </c>
      <c r="F393" t="s">
        <v>3308</v>
      </c>
      <c r="G393" t="s">
        <v>4332</v>
      </c>
    </row>
    <row r="394" spans="1:7" ht="11.25" customHeight="1">
      <c r="A394" s="310" t="s">
        <v>16</v>
      </c>
      <c r="B394" t="s">
        <v>4319</v>
      </c>
      <c r="C394" t="s">
        <v>4320</v>
      </c>
      <c r="D394" t="s">
        <v>4333</v>
      </c>
      <c r="E394" t="s">
        <v>4334</v>
      </c>
      <c r="F394" t="s">
        <v>3308</v>
      </c>
      <c r="G394" t="s">
        <v>4335</v>
      </c>
    </row>
    <row r="395" spans="1:7" ht="11.25" customHeight="1">
      <c r="A395" s="310" t="s">
        <v>16</v>
      </c>
      <c r="B395" t="s">
        <v>4319</v>
      </c>
      <c r="C395" t="s">
        <v>4320</v>
      </c>
      <c r="D395" t="s">
        <v>4336</v>
      </c>
      <c r="E395" t="s">
        <v>4337</v>
      </c>
      <c r="F395" t="s">
        <v>3308</v>
      </c>
      <c r="G395" t="s">
        <v>4338</v>
      </c>
    </row>
    <row r="396" spans="1:7" ht="11.25" customHeight="1">
      <c r="A396" s="310" t="s">
        <v>16</v>
      </c>
      <c r="B396" t="s">
        <v>4319</v>
      </c>
      <c r="C396" t="s">
        <v>4320</v>
      </c>
      <c r="D396" t="s">
        <v>3700</v>
      </c>
      <c r="E396" t="s">
        <v>4339</v>
      </c>
      <c r="F396" t="s">
        <v>3308</v>
      </c>
      <c r="G396" t="s">
        <v>4340</v>
      </c>
    </row>
    <row r="397" spans="1:7" ht="11.25" customHeight="1">
      <c r="A397" s="310" t="s">
        <v>16</v>
      </c>
      <c r="B397" t="s">
        <v>4319</v>
      </c>
      <c r="C397" t="s">
        <v>4320</v>
      </c>
      <c r="D397" t="s">
        <v>4341</v>
      </c>
      <c r="E397" t="s">
        <v>4342</v>
      </c>
      <c r="F397" t="s">
        <v>3308</v>
      </c>
      <c r="G397" t="s">
        <v>4343</v>
      </c>
    </row>
    <row r="398" spans="1:7" ht="11.25" customHeight="1">
      <c r="A398" s="310" t="s">
        <v>16</v>
      </c>
      <c r="B398" t="s">
        <v>4319</v>
      </c>
      <c r="C398" t="s">
        <v>4320</v>
      </c>
      <c r="D398" t="s">
        <v>4344</v>
      </c>
      <c r="E398" t="s">
        <v>4345</v>
      </c>
      <c r="F398" t="s">
        <v>3308</v>
      </c>
      <c r="G398" t="s">
        <v>4346</v>
      </c>
    </row>
    <row r="399" spans="1:7" ht="11.25" customHeight="1">
      <c r="A399" s="310" t="s">
        <v>16</v>
      </c>
      <c r="B399" t="s">
        <v>4319</v>
      </c>
      <c r="C399" t="s">
        <v>4320</v>
      </c>
      <c r="D399" t="s">
        <v>4319</v>
      </c>
      <c r="E399" t="s">
        <v>4320</v>
      </c>
      <c r="F399" t="s">
        <v>3305</v>
      </c>
      <c r="G399" t="s">
        <v>4347</v>
      </c>
    </row>
    <row r="400" spans="1:7" ht="11.25" customHeight="1">
      <c r="A400" s="310" t="s">
        <v>16</v>
      </c>
      <c r="B400" t="s">
        <v>4319</v>
      </c>
      <c r="C400" t="s">
        <v>4320</v>
      </c>
      <c r="D400" t="s">
        <v>4348</v>
      </c>
      <c r="E400" t="s">
        <v>4349</v>
      </c>
      <c r="F400" t="s">
        <v>3308</v>
      </c>
      <c r="G400" t="s">
        <v>4350</v>
      </c>
    </row>
    <row r="401" spans="1:7" ht="11.25" customHeight="1">
      <c r="A401" s="310" t="s">
        <v>16</v>
      </c>
      <c r="B401" t="s">
        <v>4351</v>
      </c>
      <c r="C401" t="s">
        <v>4352</v>
      </c>
      <c r="D401" t="s">
        <v>4353</v>
      </c>
      <c r="E401" t="s">
        <v>4354</v>
      </c>
      <c r="F401" t="s">
        <v>3308</v>
      </c>
      <c r="G401" t="s">
        <v>4355</v>
      </c>
    </row>
    <row r="402" spans="1:7" ht="11.25" customHeight="1">
      <c r="A402" s="310" t="s">
        <v>16</v>
      </c>
      <c r="B402" t="s">
        <v>4351</v>
      </c>
      <c r="C402" t="s">
        <v>4352</v>
      </c>
      <c r="D402" t="s">
        <v>4356</v>
      </c>
      <c r="E402" t="s">
        <v>4357</v>
      </c>
      <c r="F402" t="s">
        <v>3308</v>
      </c>
      <c r="G402" t="s">
        <v>4358</v>
      </c>
    </row>
    <row r="403" spans="1:7" ht="11.25" customHeight="1">
      <c r="A403" s="310" t="s">
        <v>16</v>
      </c>
      <c r="B403" t="s">
        <v>4351</v>
      </c>
      <c r="C403" t="s">
        <v>4352</v>
      </c>
      <c r="D403" t="s">
        <v>4359</v>
      </c>
      <c r="E403" t="s">
        <v>4360</v>
      </c>
      <c r="F403" t="s">
        <v>3308</v>
      </c>
      <c r="G403" t="s">
        <v>4361</v>
      </c>
    </row>
    <row r="404" spans="1:7" ht="11.25" customHeight="1">
      <c r="A404" s="310" t="s">
        <v>16</v>
      </c>
      <c r="B404" t="s">
        <v>4351</v>
      </c>
      <c r="C404" t="s">
        <v>4352</v>
      </c>
      <c r="D404" t="s">
        <v>4362</v>
      </c>
      <c r="E404" t="s">
        <v>4363</v>
      </c>
      <c r="F404" t="s">
        <v>3308</v>
      </c>
      <c r="G404" t="s">
        <v>4364</v>
      </c>
    </row>
    <row r="405" spans="1:7" ht="11.25" customHeight="1">
      <c r="A405" s="310" t="s">
        <v>16</v>
      </c>
      <c r="B405" t="s">
        <v>4351</v>
      </c>
      <c r="C405" t="s">
        <v>4352</v>
      </c>
      <c r="D405" t="s">
        <v>4365</v>
      </c>
      <c r="E405" t="s">
        <v>4366</v>
      </c>
      <c r="F405" t="s">
        <v>3308</v>
      </c>
      <c r="G405" t="s">
        <v>4367</v>
      </c>
    </row>
    <row r="406" spans="1:7" ht="11.25" customHeight="1">
      <c r="A406" s="310" t="s">
        <v>16</v>
      </c>
      <c r="B406" t="s">
        <v>4351</v>
      </c>
      <c r="C406" t="s">
        <v>4352</v>
      </c>
      <c r="D406" t="s">
        <v>4368</v>
      </c>
      <c r="E406" t="s">
        <v>4369</v>
      </c>
      <c r="F406" t="s">
        <v>3308</v>
      </c>
      <c r="G406" t="s">
        <v>4370</v>
      </c>
    </row>
    <row r="407" spans="1:7" ht="11.25" customHeight="1">
      <c r="A407" s="310" t="s">
        <v>16</v>
      </c>
      <c r="B407" t="s">
        <v>4351</v>
      </c>
      <c r="C407" t="s">
        <v>4352</v>
      </c>
      <c r="D407" t="s">
        <v>3800</v>
      </c>
      <c r="E407" t="s">
        <v>4371</v>
      </c>
      <c r="F407" t="s">
        <v>3308</v>
      </c>
      <c r="G407" t="s">
        <v>4372</v>
      </c>
    </row>
    <row r="408" spans="1:7" ht="11.25" customHeight="1">
      <c r="A408" s="310" t="s">
        <v>16</v>
      </c>
      <c r="B408" t="s">
        <v>4351</v>
      </c>
      <c r="C408" t="s">
        <v>4352</v>
      </c>
      <c r="D408" t="s">
        <v>4373</v>
      </c>
      <c r="E408" t="s">
        <v>4374</v>
      </c>
      <c r="F408" t="s">
        <v>3308</v>
      </c>
      <c r="G408" t="s">
        <v>4375</v>
      </c>
    </row>
    <row r="409" spans="1:7" ht="11.25" customHeight="1">
      <c r="A409" s="310" t="s">
        <v>16</v>
      </c>
      <c r="B409" t="s">
        <v>4351</v>
      </c>
      <c r="C409" t="s">
        <v>4352</v>
      </c>
      <c r="D409" t="s">
        <v>4194</v>
      </c>
      <c r="E409" t="s">
        <v>4376</v>
      </c>
      <c r="F409" t="s">
        <v>3308</v>
      </c>
      <c r="G409" t="s">
        <v>4377</v>
      </c>
    </row>
    <row r="410" spans="1:7" ht="11.25" customHeight="1">
      <c r="A410" s="310" t="s">
        <v>16</v>
      </c>
      <c r="B410" t="s">
        <v>4351</v>
      </c>
      <c r="C410" t="s">
        <v>4352</v>
      </c>
      <c r="D410" t="s">
        <v>4351</v>
      </c>
      <c r="E410" t="s">
        <v>4352</v>
      </c>
      <c r="F410" t="s">
        <v>3305</v>
      </c>
      <c r="G410" t="s">
        <v>4378</v>
      </c>
    </row>
    <row r="411" spans="1:7" ht="11.25" customHeight="1">
      <c r="A411" s="310" t="s">
        <v>16</v>
      </c>
      <c r="B411" t="s">
        <v>4351</v>
      </c>
      <c r="C411" t="s">
        <v>4352</v>
      </c>
      <c r="D411" t="s">
        <v>4379</v>
      </c>
      <c r="E411" t="s">
        <v>4380</v>
      </c>
      <c r="F411" t="s">
        <v>3308</v>
      </c>
      <c r="G411" t="s">
        <v>4381</v>
      </c>
    </row>
    <row r="412" spans="1:7" ht="11.25" customHeight="1">
      <c r="A412" s="310" t="s">
        <v>16</v>
      </c>
      <c r="B412" t="s">
        <v>4351</v>
      </c>
      <c r="C412" t="s">
        <v>4352</v>
      </c>
      <c r="D412" t="s">
        <v>4382</v>
      </c>
      <c r="E412" t="s">
        <v>4383</v>
      </c>
      <c r="F412" t="s">
        <v>3308</v>
      </c>
      <c r="G412" t="s">
        <v>4384</v>
      </c>
    </row>
    <row r="413" spans="1:7" ht="11.25" customHeight="1">
      <c r="A413" s="310" t="s">
        <v>16</v>
      </c>
      <c r="B413" t="s">
        <v>4385</v>
      </c>
      <c r="C413" t="s">
        <v>4386</v>
      </c>
      <c r="D413" t="s">
        <v>4387</v>
      </c>
      <c r="E413" t="s">
        <v>4388</v>
      </c>
      <c r="F413" t="s">
        <v>3308</v>
      </c>
      <c r="G413" t="s">
        <v>4389</v>
      </c>
    </row>
    <row r="414" spans="1:7" ht="11.25" customHeight="1">
      <c r="A414" s="310" t="s">
        <v>16</v>
      </c>
      <c r="B414" t="s">
        <v>4385</v>
      </c>
      <c r="C414" t="s">
        <v>4386</v>
      </c>
      <c r="D414" t="s">
        <v>4390</v>
      </c>
      <c r="E414" t="s">
        <v>4391</v>
      </c>
      <c r="F414" t="s">
        <v>3308</v>
      </c>
      <c r="G414" t="s">
        <v>4392</v>
      </c>
    </row>
    <row r="415" spans="1:7" ht="11.25" customHeight="1">
      <c r="A415" s="310" t="s">
        <v>16</v>
      </c>
      <c r="B415" t="s">
        <v>4385</v>
      </c>
      <c r="C415" t="s">
        <v>4386</v>
      </c>
      <c r="D415" t="s">
        <v>3987</v>
      </c>
      <c r="E415" t="s">
        <v>4393</v>
      </c>
      <c r="F415" t="s">
        <v>3308</v>
      </c>
      <c r="G415" t="s">
        <v>4394</v>
      </c>
    </row>
    <row r="416" spans="1:7" ht="11.25" customHeight="1">
      <c r="A416" s="310" t="s">
        <v>16</v>
      </c>
      <c r="B416" t="s">
        <v>4385</v>
      </c>
      <c r="C416" t="s">
        <v>4386</v>
      </c>
      <c r="D416" t="s">
        <v>4395</v>
      </c>
      <c r="E416" t="s">
        <v>4396</v>
      </c>
      <c r="F416" t="s">
        <v>3308</v>
      </c>
      <c r="G416" t="s">
        <v>4397</v>
      </c>
    </row>
    <row r="417" spans="1:7" ht="11.25" customHeight="1">
      <c r="A417" s="310" t="s">
        <v>16</v>
      </c>
      <c r="B417" t="s">
        <v>4385</v>
      </c>
      <c r="C417" t="s">
        <v>4386</v>
      </c>
      <c r="D417" t="s">
        <v>4398</v>
      </c>
      <c r="E417" t="s">
        <v>4399</v>
      </c>
      <c r="F417" t="s">
        <v>3308</v>
      </c>
      <c r="G417" t="s">
        <v>4400</v>
      </c>
    </row>
    <row r="418" spans="1:7" ht="11.25" customHeight="1">
      <c r="A418" s="310" t="s">
        <v>16</v>
      </c>
      <c r="B418" t="s">
        <v>4385</v>
      </c>
      <c r="C418" t="s">
        <v>4386</v>
      </c>
      <c r="D418" t="s">
        <v>4401</v>
      </c>
      <c r="E418" t="s">
        <v>4402</v>
      </c>
      <c r="F418" t="s">
        <v>3308</v>
      </c>
      <c r="G418" t="s">
        <v>4403</v>
      </c>
    </row>
    <row r="419" spans="1:7" ht="11.25" customHeight="1">
      <c r="A419" s="310" t="s">
        <v>16</v>
      </c>
      <c r="B419" t="s">
        <v>4385</v>
      </c>
      <c r="C419" t="s">
        <v>4386</v>
      </c>
      <c r="D419" t="s">
        <v>4404</v>
      </c>
      <c r="E419" t="s">
        <v>4405</v>
      </c>
      <c r="F419" t="s">
        <v>3308</v>
      </c>
      <c r="G419" t="s">
        <v>4406</v>
      </c>
    </row>
    <row r="420" spans="1:7" ht="11.25" customHeight="1">
      <c r="A420" s="310" t="s">
        <v>16</v>
      </c>
      <c r="B420" t="s">
        <v>4385</v>
      </c>
      <c r="C420" t="s">
        <v>4386</v>
      </c>
      <c r="D420" t="s">
        <v>4385</v>
      </c>
      <c r="E420" t="s">
        <v>4386</v>
      </c>
      <c r="F420" t="s">
        <v>3305</v>
      </c>
      <c r="G420" t="s">
        <v>4407</v>
      </c>
    </row>
    <row r="421" spans="1:7" ht="11.25" customHeight="1">
      <c r="A421" s="310" t="s">
        <v>16</v>
      </c>
      <c r="B421" t="s">
        <v>4385</v>
      </c>
      <c r="C421" t="s">
        <v>4386</v>
      </c>
      <c r="D421" t="s">
        <v>4408</v>
      </c>
      <c r="E421" t="s">
        <v>4409</v>
      </c>
      <c r="F421" t="s">
        <v>3688</v>
      </c>
      <c r="G421" t="s">
        <v>4410</v>
      </c>
    </row>
    <row r="422" spans="1:7" ht="11.25" customHeight="1">
      <c r="A422" s="310" t="s">
        <v>16</v>
      </c>
      <c r="B422" t="s">
        <v>4411</v>
      </c>
      <c r="C422" t="s">
        <v>4412</v>
      </c>
      <c r="D422" t="s">
        <v>3637</v>
      </c>
      <c r="E422" t="s">
        <v>4413</v>
      </c>
      <c r="F422" t="s">
        <v>3308</v>
      </c>
      <c r="G422" t="s">
        <v>4414</v>
      </c>
    </row>
    <row r="423" spans="1:7" ht="11.25" customHeight="1">
      <c r="A423" s="310" t="s">
        <v>16</v>
      </c>
      <c r="B423" t="s">
        <v>4411</v>
      </c>
      <c r="C423" t="s">
        <v>4412</v>
      </c>
      <c r="D423" t="s">
        <v>4415</v>
      </c>
      <c r="E423" t="s">
        <v>4416</v>
      </c>
      <c r="F423" t="s">
        <v>3308</v>
      </c>
      <c r="G423" t="s">
        <v>4417</v>
      </c>
    </row>
    <row r="424" spans="1:7" ht="11.25" customHeight="1">
      <c r="A424" s="310" t="s">
        <v>16</v>
      </c>
      <c r="B424" t="s">
        <v>4411</v>
      </c>
      <c r="C424" t="s">
        <v>4412</v>
      </c>
      <c r="D424" t="s">
        <v>3800</v>
      </c>
      <c r="E424" t="s">
        <v>4418</v>
      </c>
      <c r="F424" t="s">
        <v>3308</v>
      </c>
      <c r="G424" t="s">
        <v>4419</v>
      </c>
    </row>
    <row r="425" spans="1:7" ht="11.25" customHeight="1">
      <c r="A425" s="310" t="s">
        <v>16</v>
      </c>
      <c r="B425" t="s">
        <v>4411</v>
      </c>
      <c r="C425" t="s">
        <v>4412</v>
      </c>
      <c r="D425" t="s">
        <v>4420</v>
      </c>
      <c r="E425" t="s">
        <v>4421</v>
      </c>
      <c r="F425" t="s">
        <v>3308</v>
      </c>
      <c r="G425" t="s">
        <v>4422</v>
      </c>
    </row>
    <row r="426" spans="1:7" ht="11.25" customHeight="1">
      <c r="A426" s="310" t="s">
        <v>16</v>
      </c>
      <c r="B426" t="s">
        <v>4411</v>
      </c>
      <c r="C426" t="s">
        <v>4412</v>
      </c>
      <c r="D426" t="s">
        <v>4423</v>
      </c>
      <c r="E426" t="s">
        <v>4424</v>
      </c>
      <c r="F426" t="s">
        <v>3308</v>
      </c>
      <c r="G426" t="s">
        <v>4425</v>
      </c>
    </row>
    <row r="427" spans="1:7" ht="11.25" customHeight="1">
      <c r="A427" s="310" t="s">
        <v>16</v>
      </c>
      <c r="B427" t="s">
        <v>4411</v>
      </c>
      <c r="C427" t="s">
        <v>4412</v>
      </c>
      <c r="D427" t="s">
        <v>4426</v>
      </c>
      <c r="E427" t="s">
        <v>4427</v>
      </c>
      <c r="F427" t="s">
        <v>3308</v>
      </c>
      <c r="G427" t="s">
        <v>4428</v>
      </c>
    </row>
    <row r="428" spans="1:7" ht="11.25" customHeight="1">
      <c r="A428" s="310" t="s">
        <v>16</v>
      </c>
      <c r="B428" t="s">
        <v>4411</v>
      </c>
      <c r="C428" t="s">
        <v>4412</v>
      </c>
      <c r="D428" t="s">
        <v>4429</v>
      </c>
      <c r="E428" t="s">
        <v>4430</v>
      </c>
      <c r="F428" t="s">
        <v>3308</v>
      </c>
      <c r="G428" t="s">
        <v>4431</v>
      </c>
    </row>
    <row r="429" spans="1:7" ht="11.25" customHeight="1">
      <c r="A429" s="310" t="s">
        <v>16</v>
      </c>
      <c r="B429" t="s">
        <v>4411</v>
      </c>
      <c r="C429" t="s">
        <v>4412</v>
      </c>
      <c r="D429" t="s">
        <v>4411</v>
      </c>
      <c r="E429" t="s">
        <v>4412</v>
      </c>
      <c r="F429" t="s">
        <v>3305</v>
      </c>
      <c r="G429" t="s">
        <v>4432</v>
      </c>
    </row>
    <row r="430" spans="1:7" ht="11.25" customHeight="1">
      <c r="A430" s="310" t="s">
        <v>16</v>
      </c>
      <c r="B430" t="s">
        <v>4411</v>
      </c>
      <c r="C430" t="s">
        <v>4412</v>
      </c>
      <c r="D430" t="s">
        <v>4433</v>
      </c>
      <c r="E430" t="s">
        <v>4434</v>
      </c>
      <c r="F430" t="s">
        <v>3308</v>
      </c>
      <c r="G430" t="s">
        <v>4435</v>
      </c>
    </row>
    <row r="431" spans="1:7" ht="11.25" customHeight="1">
      <c r="A431" s="310" t="s">
        <v>16</v>
      </c>
      <c r="B431" t="s">
        <v>4411</v>
      </c>
      <c r="C431" t="s">
        <v>4412</v>
      </c>
      <c r="D431" t="s">
        <v>4271</v>
      </c>
      <c r="E431" t="s">
        <v>4436</v>
      </c>
      <c r="F431" t="s">
        <v>3308</v>
      </c>
      <c r="G431" t="s">
        <v>4437</v>
      </c>
    </row>
    <row r="432" spans="1:7" ht="11.25" customHeight="1">
      <c r="A432" s="310" t="s">
        <v>16</v>
      </c>
      <c r="B432" t="s">
        <v>4438</v>
      </c>
      <c r="C432" t="s">
        <v>4439</v>
      </c>
      <c r="D432" t="s">
        <v>3662</v>
      </c>
      <c r="E432" t="s">
        <v>4440</v>
      </c>
      <c r="F432" t="s">
        <v>3308</v>
      </c>
      <c r="G432" t="s">
        <v>4441</v>
      </c>
    </row>
    <row r="433" spans="1:7" ht="11.25" customHeight="1">
      <c r="A433" s="310" t="s">
        <v>16</v>
      </c>
      <c r="B433" t="s">
        <v>4438</v>
      </c>
      <c r="C433" t="s">
        <v>4439</v>
      </c>
      <c r="D433" t="s">
        <v>4442</v>
      </c>
      <c r="E433" t="s">
        <v>4443</v>
      </c>
      <c r="F433" t="s">
        <v>3308</v>
      </c>
      <c r="G433" t="s">
        <v>4444</v>
      </c>
    </row>
    <row r="434" spans="1:7" ht="11.25" customHeight="1">
      <c r="A434" s="310" t="s">
        <v>16</v>
      </c>
      <c r="B434" t="s">
        <v>4438</v>
      </c>
      <c r="C434" t="s">
        <v>4439</v>
      </c>
      <c r="D434" t="s">
        <v>4445</v>
      </c>
      <c r="E434" t="s">
        <v>4446</v>
      </c>
      <c r="F434" t="s">
        <v>3308</v>
      </c>
      <c r="G434" t="s">
        <v>4447</v>
      </c>
    </row>
    <row r="435" spans="1:7" ht="11.25" customHeight="1">
      <c r="A435" s="310" t="s">
        <v>16</v>
      </c>
      <c r="B435" t="s">
        <v>4438</v>
      </c>
      <c r="C435" t="s">
        <v>4439</v>
      </c>
      <c r="D435" t="s">
        <v>4448</v>
      </c>
      <c r="E435" t="s">
        <v>4449</v>
      </c>
      <c r="F435" t="s">
        <v>3308</v>
      </c>
      <c r="G435" t="s">
        <v>4450</v>
      </c>
    </row>
    <row r="436" spans="1:7" ht="11.25" customHeight="1">
      <c r="A436" s="310" t="s">
        <v>16</v>
      </c>
      <c r="B436" t="s">
        <v>4438</v>
      </c>
      <c r="C436" t="s">
        <v>4439</v>
      </c>
      <c r="D436" t="s">
        <v>4451</v>
      </c>
      <c r="E436" t="s">
        <v>4452</v>
      </c>
      <c r="F436" t="s">
        <v>3308</v>
      </c>
      <c r="G436" t="s">
        <v>4453</v>
      </c>
    </row>
    <row r="437" spans="1:7" ht="11.25" customHeight="1">
      <c r="A437" s="310" t="s">
        <v>16</v>
      </c>
      <c r="B437" t="s">
        <v>4438</v>
      </c>
      <c r="C437" t="s">
        <v>4439</v>
      </c>
      <c r="D437" t="s">
        <v>4454</v>
      </c>
      <c r="E437" t="s">
        <v>4455</v>
      </c>
      <c r="F437" t="s">
        <v>3308</v>
      </c>
      <c r="G437" t="s">
        <v>4456</v>
      </c>
    </row>
    <row r="438" spans="1:7" ht="11.25" customHeight="1">
      <c r="A438" s="310" t="s">
        <v>16</v>
      </c>
      <c r="B438" t="s">
        <v>4438</v>
      </c>
      <c r="C438" t="s">
        <v>4439</v>
      </c>
      <c r="D438" t="s">
        <v>4438</v>
      </c>
      <c r="E438" t="s">
        <v>4439</v>
      </c>
      <c r="F438" t="s">
        <v>3305</v>
      </c>
      <c r="G438" t="s">
        <v>4457</v>
      </c>
    </row>
    <row r="439" spans="1:7" ht="11.25" customHeight="1">
      <c r="A439" s="310" t="s">
        <v>16</v>
      </c>
      <c r="B439" t="s">
        <v>4438</v>
      </c>
      <c r="C439" t="s">
        <v>4439</v>
      </c>
      <c r="D439" t="s">
        <v>4458</v>
      </c>
      <c r="E439" t="s">
        <v>4459</v>
      </c>
      <c r="F439" t="s">
        <v>3345</v>
      </c>
      <c r="G439" t="s">
        <v>4460</v>
      </c>
    </row>
    <row r="440" spans="1:7" ht="11.25" customHeight="1">
      <c r="A440" s="310" t="s">
        <v>16</v>
      </c>
      <c r="B440" t="s">
        <v>4461</v>
      </c>
      <c r="C440" t="s">
        <v>4462</v>
      </c>
      <c r="D440" t="s">
        <v>4463</v>
      </c>
      <c r="E440" t="s">
        <v>4464</v>
      </c>
      <c r="F440" t="s">
        <v>3308</v>
      </c>
      <c r="G440" t="s">
        <v>4465</v>
      </c>
    </row>
    <row r="441" spans="1:7" ht="11.25" customHeight="1">
      <c r="A441" s="310" t="s">
        <v>16</v>
      </c>
      <c r="B441" t="s">
        <v>4461</v>
      </c>
      <c r="C441" t="s">
        <v>4462</v>
      </c>
      <c r="D441" t="s">
        <v>3602</v>
      </c>
      <c r="E441" t="s">
        <v>4466</v>
      </c>
      <c r="F441" t="s">
        <v>3308</v>
      </c>
      <c r="G441" t="s">
        <v>4467</v>
      </c>
    </row>
    <row r="442" spans="1:7" ht="11.25" customHeight="1">
      <c r="A442" s="310" t="s">
        <v>16</v>
      </c>
      <c r="B442" t="s">
        <v>4461</v>
      </c>
      <c r="C442" t="s">
        <v>4462</v>
      </c>
      <c r="D442" t="s">
        <v>4468</v>
      </c>
      <c r="E442" t="s">
        <v>4469</v>
      </c>
      <c r="F442" t="s">
        <v>3308</v>
      </c>
      <c r="G442" t="s">
        <v>4470</v>
      </c>
    </row>
    <row r="443" spans="1:7" ht="11.25" customHeight="1">
      <c r="A443" s="310" t="s">
        <v>16</v>
      </c>
      <c r="B443" t="s">
        <v>4461</v>
      </c>
      <c r="C443" t="s">
        <v>4462</v>
      </c>
      <c r="D443" t="s">
        <v>3640</v>
      </c>
      <c r="E443" t="s">
        <v>4471</v>
      </c>
      <c r="F443" t="s">
        <v>3308</v>
      </c>
      <c r="G443" t="s">
        <v>4472</v>
      </c>
    </row>
    <row r="444" spans="1:7" ht="11.25" customHeight="1">
      <c r="A444" s="310" t="s">
        <v>16</v>
      </c>
      <c r="B444" t="s">
        <v>4461</v>
      </c>
      <c r="C444" t="s">
        <v>4462</v>
      </c>
      <c r="D444" t="s">
        <v>4473</v>
      </c>
      <c r="E444" t="s">
        <v>4474</v>
      </c>
      <c r="F444" t="s">
        <v>3308</v>
      </c>
      <c r="G444" t="s">
        <v>4475</v>
      </c>
    </row>
    <row r="445" spans="1:7" ht="11.25" customHeight="1">
      <c r="A445" s="310" t="s">
        <v>16</v>
      </c>
      <c r="B445" t="s">
        <v>4461</v>
      </c>
      <c r="C445" t="s">
        <v>4462</v>
      </c>
      <c r="D445" t="s">
        <v>4476</v>
      </c>
      <c r="E445" t="s">
        <v>4477</v>
      </c>
      <c r="F445" t="s">
        <v>3308</v>
      </c>
      <c r="G445" t="s">
        <v>4478</v>
      </c>
    </row>
    <row r="446" spans="1:7" ht="11.25" customHeight="1">
      <c r="A446" s="310" t="s">
        <v>16</v>
      </c>
      <c r="B446" t="s">
        <v>4461</v>
      </c>
      <c r="C446" t="s">
        <v>4462</v>
      </c>
      <c r="D446" t="s">
        <v>4479</v>
      </c>
      <c r="E446" t="s">
        <v>4480</v>
      </c>
      <c r="F446" t="s">
        <v>3308</v>
      </c>
      <c r="G446" t="s">
        <v>4481</v>
      </c>
    </row>
    <row r="447" spans="1:7" ht="11.25" customHeight="1">
      <c r="A447" s="310" t="s">
        <v>16</v>
      </c>
      <c r="B447" t="s">
        <v>4461</v>
      </c>
      <c r="C447" t="s">
        <v>4462</v>
      </c>
      <c r="D447" t="s">
        <v>4482</v>
      </c>
      <c r="E447" t="s">
        <v>4483</v>
      </c>
      <c r="F447" t="s">
        <v>3308</v>
      </c>
      <c r="G447" t="s">
        <v>4484</v>
      </c>
    </row>
    <row r="448" spans="1:7" ht="11.25" customHeight="1">
      <c r="A448" s="310" t="s">
        <v>16</v>
      </c>
      <c r="B448" t="s">
        <v>4461</v>
      </c>
      <c r="C448" t="s">
        <v>4462</v>
      </c>
      <c r="D448" t="s">
        <v>4485</v>
      </c>
      <c r="E448" t="s">
        <v>4486</v>
      </c>
      <c r="F448" t="s">
        <v>3308</v>
      </c>
      <c r="G448" t="s">
        <v>4487</v>
      </c>
    </row>
    <row r="449" spans="1:7" ht="11.25" customHeight="1">
      <c r="A449" s="310" t="s">
        <v>16</v>
      </c>
      <c r="B449" t="s">
        <v>4461</v>
      </c>
      <c r="C449" t="s">
        <v>4462</v>
      </c>
      <c r="D449" t="s">
        <v>4488</v>
      </c>
      <c r="E449" t="s">
        <v>4489</v>
      </c>
      <c r="F449" t="s">
        <v>3308</v>
      </c>
      <c r="G449" t="s">
        <v>4490</v>
      </c>
    </row>
    <row r="450" spans="1:7" ht="11.25" customHeight="1">
      <c r="A450" s="310" t="s">
        <v>16</v>
      </c>
      <c r="B450" t="s">
        <v>4461</v>
      </c>
      <c r="C450" t="s">
        <v>4462</v>
      </c>
      <c r="D450" t="s">
        <v>4491</v>
      </c>
      <c r="E450" t="s">
        <v>4492</v>
      </c>
      <c r="F450" t="s">
        <v>3308</v>
      </c>
      <c r="G450" t="s">
        <v>4493</v>
      </c>
    </row>
    <row r="451" spans="1:7" ht="11.25" customHeight="1">
      <c r="A451" s="310" t="s">
        <v>16</v>
      </c>
      <c r="B451" t="s">
        <v>4461</v>
      </c>
      <c r="C451" t="s">
        <v>4462</v>
      </c>
      <c r="D451" t="s">
        <v>4461</v>
      </c>
      <c r="E451" t="s">
        <v>4462</v>
      </c>
      <c r="F451" t="s">
        <v>3305</v>
      </c>
      <c r="G451" t="s">
        <v>4494</v>
      </c>
    </row>
    <row r="452" spans="1:7" ht="11.25" customHeight="1">
      <c r="A452" s="310" t="s">
        <v>16</v>
      </c>
      <c r="B452" t="s">
        <v>4461</v>
      </c>
      <c r="C452" t="s">
        <v>4462</v>
      </c>
      <c r="D452" t="s">
        <v>4495</v>
      </c>
      <c r="E452" t="s">
        <v>4496</v>
      </c>
      <c r="F452" t="s">
        <v>3308</v>
      </c>
      <c r="G452" t="s">
        <v>4497</v>
      </c>
    </row>
    <row r="453" spans="1:7" ht="11.25" customHeight="1">
      <c r="A453" s="310" t="s">
        <v>16</v>
      </c>
      <c r="B453" t="s">
        <v>4461</v>
      </c>
      <c r="C453" t="s">
        <v>4462</v>
      </c>
      <c r="D453" t="s">
        <v>4498</v>
      </c>
      <c r="E453" t="s">
        <v>4499</v>
      </c>
      <c r="F453" t="s">
        <v>3308</v>
      </c>
      <c r="G453" t="s">
        <v>4500</v>
      </c>
    </row>
    <row r="454" spans="1:7" ht="11.25" customHeight="1">
      <c r="A454" s="310" t="s">
        <v>16</v>
      </c>
      <c r="B454" t="s">
        <v>4461</v>
      </c>
      <c r="C454" t="s">
        <v>4462</v>
      </c>
      <c r="D454" t="s">
        <v>4501</v>
      </c>
      <c r="E454" t="s">
        <v>4502</v>
      </c>
      <c r="F454" t="s">
        <v>3308</v>
      </c>
      <c r="G454" t="s">
        <v>4503</v>
      </c>
    </row>
    <row r="455" spans="1:7" ht="11.25" customHeight="1">
      <c r="A455" s="310" t="s">
        <v>16</v>
      </c>
      <c r="B455" t="s">
        <v>4504</v>
      </c>
      <c r="C455" t="s">
        <v>4505</v>
      </c>
      <c r="D455" t="s">
        <v>4506</v>
      </c>
      <c r="E455" t="s">
        <v>4507</v>
      </c>
      <c r="F455" t="s">
        <v>3308</v>
      </c>
      <c r="G455" t="s">
        <v>4508</v>
      </c>
    </row>
    <row r="456" spans="1:7" ht="11.25" customHeight="1">
      <c r="A456" s="310" t="s">
        <v>16</v>
      </c>
      <c r="B456" t="s">
        <v>4504</v>
      </c>
      <c r="C456" t="s">
        <v>4505</v>
      </c>
      <c r="D456" t="s">
        <v>4509</v>
      </c>
      <c r="E456" t="s">
        <v>4510</v>
      </c>
      <c r="F456" t="s">
        <v>3308</v>
      </c>
      <c r="G456" t="s">
        <v>4511</v>
      </c>
    </row>
    <row r="457" spans="1:7" ht="11.25" customHeight="1">
      <c r="A457" s="310" t="s">
        <v>16</v>
      </c>
      <c r="B457" t="s">
        <v>4504</v>
      </c>
      <c r="C457" t="s">
        <v>4505</v>
      </c>
      <c r="D457" t="s">
        <v>4512</v>
      </c>
      <c r="E457" t="s">
        <v>4513</v>
      </c>
      <c r="F457" t="s">
        <v>3308</v>
      </c>
      <c r="G457" t="s">
        <v>4514</v>
      </c>
    </row>
    <row r="458" spans="1:7" ht="11.25" customHeight="1">
      <c r="A458" s="310" t="s">
        <v>16</v>
      </c>
      <c r="B458" t="s">
        <v>4504</v>
      </c>
      <c r="C458" t="s">
        <v>4505</v>
      </c>
      <c r="D458" t="s">
        <v>4515</v>
      </c>
      <c r="E458" t="s">
        <v>4516</v>
      </c>
      <c r="F458" t="s">
        <v>3308</v>
      </c>
      <c r="G458" t="s">
        <v>4517</v>
      </c>
    </row>
    <row r="459" spans="1:7" ht="11.25" customHeight="1">
      <c r="A459" s="310" t="s">
        <v>16</v>
      </c>
      <c r="B459" t="s">
        <v>4504</v>
      </c>
      <c r="C459" t="s">
        <v>4505</v>
      </c>
      <c r="D459" t="s">
        <v>3662</v>
      </c>
      <c r="E459" t="s">
        <v>4518</v>
      </c>
      <c r="F459" t="s">
        <v>3308</v>
      </c>
      <c r="G459" t="s">
        <v>4519</v>
      </c>
    </row>
    <row r="460" spans="1:7" ht="11.25" customHeight="1">
      <c r="A460" s="310" t="s">
        <v>16</v>
      </c>
      <c r="B460" t="s">
        <v>4504</v>
      </c>
      <c r="C460" t="s">
        <v>4505</v>
      </c>
      <c r="D460" t="s">
        <v>4520</v>
      </c>
      <c r="E460" t="s">
        <v>4521</v>
      </c>
      <c r="F460" t="s">
        <v>3308</v>
      </c>
      <c r="G460" t="s">
        <v>4522</v>
      </c>
    </row>
    <row r="461" spans="1:7" ht="11.25" customHeight="1">
      <c r="A461" s="310" t="s">
        <v>16</v>
      </c>
      <c r="B461" t="s">
        <v>4504</v>
      </c>
      <c r="C461" t="s">
        <v>4505</v>
      </c>
      <c r="D461" t="s">
        <v>4523</v>
      </c>
      <c r="E461" t="s">
        <v>4524</v>
      </c>
      <c r="F461" t="s">
        <v>3308</v>
      </c>
      <c r="G461" t="s">
        <v>4525</v>
      </c>
    </row>
    <row r="462" spans="1:7" ht="11.25" customHeight="1">
      <c r="A462" s="310" t="s">
        <v>16</v>
      </c>
      <c r="B462" t="s">
        <v>4504</v>
      </c>
      <c r="C462" t="s">
        <v>4505</v>
      </c>
      <c r="D462" t="s">
        <v>4526</v>
      </c>
      <c r="E462" t="s">
        <v>4527</v>
      </c>
      <c r="F462" t="s">
        <v>3308</v>
      </c>
      <c r="G462" t="s">
        <v>4528</v>
      </c>
    </row>
    <row r="463" spans="1:7" ht="11.25" customHeight="1">
      <c r="A463" s="310" t="s">
        <v>16</v>
      </c>
      <c r="B463" t="s">
        <v>4504</v>
      </c>
      <c r="C463" t="s">
        <v>4505</v>
      </c>
      <c r="D463" t="s">
        <v>4529</v>
      </c>
      <c r="E463" t="s">
        <v>4530</v>
      </c>
      <c r="F463" t="s">
        <v>3308</v>
      </c>
      <c r="G463" t="s">
        <v>4531</v>
      </c>
    </row>
    <row r="464" spans="1:7" ht="11.25" customHeight="1">
      <c r="A464" s="310" t="s">
        <v>16</v>
      </c>
      <c r="B464" t="s">
        <v>4504</v>
      </c>
      <c r="C464" t="s">
        <v>4505</v>
      </c>
      <c r="D464" t="s">
        <v>4504</v>
      </c>
      <c r="E464" t="s">
        <v>4505</v>
      </c>
      <c r="F464" t="s">
        <v>3305</v>
      </c>
      <c r="G464" t="s">
        <v>4532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4533</v>
      </c>
      <c r="B1" s="766" t="s">
        <v>4534</v>
      </c>
      <c r="C1" s="1086" t="s">
        <v>4535</v>
      </c>
      <c r="D1" s="766" t="s">
        <v>4536</v>
      </c>
      <c r="E1" s="766" t="s">
        <v>4537</v>
      </c>
      <c r="F1" s="1086" t="s">
        <v>4538</v>
      </c>
      <c r="G1" s="1086" t="s">
        <v>4539</v>
      </c>
      <c r="H1" s="1086" t="s">
        <v>4540</v>
      </c>
      <c r="I1" s="1086" t="s">
        <v>4541</v>
      </c>
    </row>
    <row r="2" spans="1:9" ht="11.25" customHeight="1">
      <c r="A2" s="1618" t="s">
        <v>177</v>
      </c>
      <c r="B2" s="1618" t="s">
        <v>4542</v>
      </c>
      <c r="C2" s="1618" t="s">
        <v>28</v>
      </c>
      <c r="D2" s="1618" t="s">
        <v>4543</v>
      </c>
      <c r="E2" s="1618" t="s">
        <v>4544</v>
      </c>
      <c r="F2" s="1618" t="s">
        <v>28</v>
      </c>
      <c r="G2" s="1618" t="s">
        <v>28</v>
      </c>
      <c r="H2" s="1618" t="s">
        <v>28</v>
      </c>
      <c r="I2" s="1618" t="s">
        <v>28</v>
      </c>
    </row>
    <row r="3" spans="1:9" ht="11.25" customHeight="1">
      <c r="A3" s="1618" t="s">
        <v>102</v>
      </c>
      <c r="B3" s="1618" t="s">
        <v>4545</v>
      </c>
      <c r="C3" s="1618" t="s">
        <v>28</v>
      </c>
      <c r="D3" s="1618" t="s">
        <v>4546</v>
      </c>
      <c r="E3" s="1618" t="s">
        <v>4547</v>
      </c>
      <c r="F3" s="1618" t="s">
        <v>28</v>
      </c>
      <c r="G3" s="1618" t="s">
        <v>28</v>
      </c>
      <c r="H3" s="1618" t="s">
        <v>28</v>
      </c>
      <c r="I3" s="1618" t="s">
        <v>28</v>
      </c>
    </row>
    <row r="4" spans="1:9" ht="11.25" customHeight="1">
      <c r="A4" s="1618" t="s">
        <v>90</v>
      </c>
      <c r="B4" s="1618" t="s">
        <v>4548</v>
      </c>
      <c r="C4" s="1618" t="s">
        <v>28</v>
      </c>
      <c r="D4" s="1618" t="s">
        <v>4546</v>
      </c>
      <c r="E4" s="1618" t="s">
        <v>4549</v>
      </c>
      <c r="F4" s="1618" t="s">
        <v>28</v>
      </c>
      <c r="G4" s="1618" t="s">
        <v>28</v>
      </c>
      <c r="H4" s="1618" t="s">
        <v>28</v>
      </c>
      <c r="I4" s="1618" t="s">
        <v>28</v>
      </c>
    </row>
    <row r="5" spans="1:9" ht="11.25" customHeight="1">
      <c r="A5" s="1618" t="s">
        <v>91</v>
      </c>
      <c r="B5" s="1618" t="s">
        <v>4550</v>
      </c>
      <c r="C5" s="1618" t="s">
        <v>28</v>
      </c>
      <c r="D5" s="1618" t="s">
        <v>4551</v>
      </c>
      <c r="E5" s="1618" t="s">
        <v>4549</v>
      </c>
      <c r="F5" s="1618" t="s">
        <v>28</v>
      </c>
      <c r="G5" s="1618" t="s">
        <v>28</v>
      </c>
      <c r="H5" s="1618" t="s">
        <v>28</v>
      </c>
      <c r="I5" s="1618" t="s">
        <v>28</v>
      </c>
    </row>
    <row r="6" spans="1:9" ht="11.25" customHeight="1">
      <c r="A6" s="1618" t="s">
        <v>127</v>
      </c>
      <c r="B6" s="1618" t="s">
        <v>4552</v>
      </c>
      <c r="C6" s="1618" t="s">
        <v>28</v>
      </c>
      <c r="D6" s="1618" t="s">
        <v>4553</v>
      </c>
      <c r="E6" s="1618" t="s">
        <v>4554</v>
      </c>
      <c r="F6" s="1618" t="s">
        <v>28</v>
      </c>
      <c r="G6" s="1618" t="s">
        <v>28</v>
      </c>
      <c r="H6" s="1618" t="s">
        <v>28</v>
      </c>
      <c r="I6" s="1618" t="s">
        <v>28</v>
      </c>
    </row>
    <row r="7" spans="1:9" ht="11.25" customHeight="1">
      <c r="A7" s="1618" t="s">
        <v>92</v>
      </c>
      <c r="B7" s="1618" t="s">
        <v>4555</v>
      </c>
      <c r="C7" s="1618" t="s">
        <v>28</v>
      </c>
      <c r="D7" s="1618" t="s">
        <v>4556</v>
      </c>
      <c r="E7" s="1618" t="s">
        <v>4547</v>
      </c>
      <c r="F7" s="1618" t="s">
        <v>28</v>
      </c>
      <c r="G7" s="1618" t="s">
        <v>28</v>
      </c>
      <c r="H7" s="1618" t="s">
        <v>28</v>
      </c>
      <c r="I7" s="1618" t="s">
        <v>28</v>
      </c>
    </row>
    <row r="8" spans="1:9" ht="11.25" customHeight="1">
      <c r="A8" s="1618" t="s">
        <v>93</v>
      </c>
      <c r="B8" s="1618" t="s">
        <v>4557</v>
      </c>
      <c r="C8" s="1618" t="s">
        <v>28</v>
      </c>
      <c r="D8" s="1618" t="s">
        <v>4556</v>
      </c>
      <c r="E8" s="1618" t="s">
        <v>4558</v>
      </c>
      <c r="F8" s="1618" t="s">
        <v>28</v>
      </c>
      <c r="G8" s="1618" t="s">
        <v>28</v>
      </c>
      <c r="H8" s="1618" t="s">
        <v>28</v>
      </c>
      <c r="I8" s="1618" t="s">
        <v>28</v>
      </c>
    </row>
    <row r="9" spans="1:9" ht="11.25" customHeight="1">
      <c r="A9" s="1618" t="s">
        <v>178</v>
      </c>
      <c r="B9" s="1618" t="s">
        <v>4559</v>
      </c>
      <c r="C9" s="1618" t="s">
        <v>28</v>
      </c>
      <c r="D9" s="1618" t="s">
        <v>4560</v>
      </c>
      <c r="E9" s="1618" t="s">
        <v>4549</v>
      </c>
      <c r="F9" s="1618" t="s">
        <v>28</v>
      </c>
      <c r="G9" s="1618" t="s">
        <v>28</v>
      </c>
      <c r="H9" s="1618" t="s">
        <v>28</v>
      </c>
      <c r="I9" s="1618" t="s">
        <v>28</v>
      </c>
    </row>
    <row r="10" spans="1:9" ht="11.25" customHeight="1">
      <c r="A10" s="1618" t="s">
        <v>214</v>
      </c>
      <c r="B10" s="1618" t="s">
        <v>4561</v>
      </c>
      <c r="C10" s="1618" t="s">
        <v>28</v>
      </c>
      <c r="D10" s="1618" t="s">
        <v>4562</v>
      </c>
      <c r="E10" s="1618" t="s">
        <v>4563</v>
      </c>
      <c r="F10" s="1618" t="s">
        <v>28</v>
      </c>
      <c r="G10" s="1618" t="s">
        <v>28</v>
      </c>
      <c r="H10" s="1618" t="s">
        <v>28</v>
      </c>
      <c r="I10" s="1618" t="s">
        <v>28</v>
      </c>
    </row>
    <row r="11" spans="1:9" ht="11.25" customHeight="1">
      <c r="A11" s="1618" t="s">
        <v>215</v>
      </c>
      <c r="B11" s="1618" t="s">
        <v>4564</v>
      </c>
      <c r="C11" s="1618" t="s">
        <v>28</v>
      </c>
      <c r="D11" s="1618" t="s">
        <v>4543</v>
      </c>
      <c r="E11" s="1618" t="s">
        <v>4544</v>
      </c>
      <c r="F11" s="1618" t="s">
        <v>28</v>
      </c>
      <c r="G11" s="1618" t="s">
        <v>28</v>
      </c>
      <c r="H11" s="1618" t="s">
        <v>28</v>
      </c>
      <c r="I11" s="1618" t="s">
        <v>28</v>
      </c>
    </row>
    <row r="12" spans="1:9" ht="11.25" customHeight="1">
      <c r="A12" s="1618" t="s">
        <v>216</v>
      </c>
      <c r="B12" s="1618" t="s">
        <v>4565</v>
      </c>
      <c r="C12" s="1618" t="s">
        <v>28</v>
      </c>
      <c r="D12" s="1618" t="s">
        <v>4543</v>
      </c>
      <c r="E12" s="1618" t="s">
        <v>4544</v>
      </c>
      <c r="F12" s="1618" t="s">
        <v>28</v>
      </c>
      <c r="G12" s="1618" t="s">
        <v>28</v>
      </c>
      <c r="H12" s="1618" t="s">
        <v>28</v>
      </c>
      <c r="I12" s="1618" t="s">
        <v>28</v>
      </c>
    </row>
    <row r="13" spans="1:9" ht="11.25" customHeight="1">
      <c r="A13" s="1618" t="s">
        <v>217</v>
      </c>
      <c r="B13" s="1618" t="s">
        <v>4566</v>
      </c>
      <c r="C13" s="1618" t="s">
        <v>28</v>
      </c>
      <c r="D13" s="1618" t="s">
        <v>4543</v>
      </c>
      <c r="E13" s="1618" t="s">
        <v>4549</v>
      </c>
      <c r="F13" s="1618" t="s">
        <v>28</v>
      </c>
      <c r="G13" s="1618" t="s">
        <v>28</v>
      </c>
      <c r="H13" s="1618" t="s">
        <v>28</v>
      </c>
      <c r="I13" s="1618" t="s">
        <v>28</v>
      </c>
    </row>
    <row r="14" spans="1:9" ht="11.25" customHeight="1">
      <c r="A14" s="1618" t="s">
        <v>218</v>
      </c>
      <c r="B14" s="1618" t="s">
        <v>4567</v>
      </c>
      <c r="C14" s="1618" t="s">
        <v>28</v>
      </c>
      <c r="D14" s="1618" t="s">
        <v>4543</v>
      </c>
      <c r="E14" s="1618" t="s">
        <v>4549</v>
      </c>
      <c r="F14" s="1618" t="s">
        <v>28</v>
      </c>
      <c r="G14" s="1618" t="s">
        <v>28</v>
      </c>
      <c r="H14" s="1618" t="s">
        <v>28</v>
      </c>
      <c r="I14" s="1618" t="s">
        <v>28</v>
      </c>
    </row>
    <row r="15" spans="1:9" ht="11.25" customHeight="1">
      <c r="A15" s="1618" t="s">
        <v>219</v>
      </c>
      <c r="B15" s="1618" t="s">
        <v>4568</v>
      </c>
      <c r="C15" s="1618" t="s">
        <v>28</v>
      </c>
      <c r="D15" s="1618" t="s">
        <v>4553</v>
      </c>
      <c r="E15" s="1618" t="s">
        <v>4554</v>
      </c>
      <c r="F15" s="1618" t="s">
        <v>28</v>
      </c>
      <c r="G15" s="1618" t="s">
        <v>28</v>
      </c>
      <c r="H15" s="1618" t="s">
        <v>28</v>
      </c>
      <c r="I15"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446" t="s">
        <v>432</v>
      </c>
      <c r="I1" s="2446"/>
      <c r="J1" s="2446"/>
      <c r="K1" s="2446"/>
      <c r="L1" s="2446"/>
      <c r="M1" s="2446"/>
      <c r="N1" s="2446"/>
      <c r="O1" s="2446"/>
      <c r="P1" s="2446"/>
      <c r="Q1" s="2446"/>
      <c r="R1" s="2446"/>
      <c r="T1" s="2446" t="s">
        <v>433</v>
      </c>
      <c r="U1" s="2446"/>
      <c r="V1" s="2446"/>
      <c r="X1" s="2446" t="s">
        <v>434</v>
      </c>
      <c r="Y1" s="2446"/>
      <c r="Z1" s="2446"/>
      <c r="AB1" s="2446" t="s">
        <v>435</v>
      </c>
      <c r="AC1" s="2446"/>
      <c r="AT1" s="384" t="s">
        <v>14</v>
      </c>
    </row>
    <row r="2" spans="1:46" ht="14.25" hidden="1" customHeight="1">
      <c r="AT2" s="384">
        <v>0</v>
      </c>
    </row>
    <row r="3" spans="1:46" s="1540" customFormat="1" ht="5.25" customHeight="1">
      <c r="C3" s="638"/>
      <c r="D3" s="639"/>
      <c r="E3" s="639"/>
      <c r="F3" s="639"/>
      <c r="G3" s="639"/>
      <c r="H3" s="639" t="s">
        <v>436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511" t="str">
        <f>ORG_VD_NAME_FORM</f>
        <v>Форма 1. Информация об организации, осуществляющей холодное водоснабжение (общая информация)</v>
      </c>
      <c r="E4" s="2512"/>
      <c r="F4" s="2512"/>
      <c r="G4" s="2512"/>
      <c r="H4" s="2512"/>
      <c r="I4" s="2512"/>
      <c r="J4" s="2512"/>
      <c r="K4" s="2512"/>
      <c r="L4" s="2512"/>
      <c r="M4" s="2512"/>
      <c r="N4" s="2512"/>
      <c r="O4" s="2512"/>
      <c r="P4" s="2512"/>
      <c r="Q4" s="2512"/>
      <c r="R4" s="251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57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578"/>
      <c r="F5" s="2578"/>
      <c r="G5" s="2578"/>
      <c r="H5" s="2578"/>
      <c r="I5" s="2578"/>
      <c r="J5" s="2578"/>
      <c r="K5" s="2578"/>
      <c r="L5" s="2578"/>
      <c r="M5" s="2578"/>
      <c r="N5" s="2578"/>
      <c r="O5" s="2578"/>
      <c r="P5" s="2578"/>
      <c r="Q5" s="2578"/>
      <c r="R5" s="257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568" t="s">
        <v>380</v>
      </c>
      <c r="E7" s="2580"/>
      <c r="F7" s="2580"/>
      <c r="G7" s="2580"/>
      <c r="H7" s="2580"/>
      <c r="I7" s="2580"/>
      <c r="J7" s="2580"/>
      <c r="K7" s="2580"/>
      <c r="L7" s="2580"/>
      <c r="M7" s="2580"/>
      <c r="N7" s="2580"/>
      <c r="O7" s="2580"/>
      <c r="P7" s="2580"/>
      <c r="Q7" s="2580"/>
      <c r="R7" s="2580"/>
      <c r="S7" s="2580"/>
      <c r="T7" s="2580"/>
      <c r="U7" s="2580"/>
      <c r="V7" s="2580"/>
      <c r="W7" s="2580"/>
      <c r="X7" s="2580"/>
      <c r="Y7" s="2580"/>
      <c r="Z7" s="2580"/>
      <c r="AA7" s="2580"/>
      <c r="AB7" s="2580"/>
      <c r="AC7" s="2580"/>
      <c r="AD7" s="2581"/>
      <c r="AE7" s="2518" t="s">
        <v>381</v>
      </c>
      <c r="AF7" s="2518" t="s">
        <v>381</v>
      </c>
      <c r="AG7" s="2518" t="s">
        <v>381</v>
      </c>
      <c r="AH7" s="2518" t="s">
        <v>381</v>
      </c>
      <c r="AT7" s="384">
        <v>14</v>
      </c>
    </row>
    <row r="8" spans="1:46" ht="27.4" customHeight="1">
      <c r="C8" s="387"/>
      <c r="D8" s="2461" t="s">
        <v>88</v>
      </c>
      <c r="E8" s="2518" t="str">
        <f>"Наименование "&amp;IF(TEMPLATE_SPHERE&lt;&gt;"HEAT","централизованной ","")&amp;"системы "&amp;TEMPLATE_SPHERE_RUS</f>
        <v>Наименование централизованной системы холодного водоснабжения</v>
      </c>
      <c r="F8" s="2518" t="str">
        <f>IF(TEMPLATE_SPHERE&lt;&gt;"HEAT","Регулируемый вид деятельности","Вид регулируемой деятельности")</f>
        <v>Регулируемый вид деятельности</v>
      </c>
      <c r="G8" s="759"/>
      <c r="H8" s="2569" t="s">
        <v>437</v>
      </c>
      <c r="I8" s="2573" t="s">
        <v>438</v>
      </c>
      <c r="J8" s="2518" t="s">
        <v>439</v>
      </c>
      <c r="K8" s="2518"/>
      <c r="L8" s="2518"/>
      <c r="M8" s="2568"/>
      <c r="N8" s="2518" t="s">
        <v>440</v>
      </c>
      <c r="O8" s="2518"/>
      <c r="P8" s="2518" t="s">
        <v>441</v>
      </c>
      <c r="Q8" s="2518"/>
      <c r="R8" s="2571" t="s">
        <v>442</v>
      </c>
      <c r="S8" s="755"/>
      <c r="T8" s="2569" t="s">
        <v>443</v>
      </c>
      <c r="U8" s="2569" t="s">
        <v>444</v>
      </c>
      <c r="V8" s="2569" t="s">
        <v>445</v>
      </c>
      <c r="W8" s="757"/>
      <c r="X8" s="2569" t="s">
        <v>446</v>
      </c>
      <c r="Y8" s="2569" t="s">
        <v>447</v>
      </c>
      <c r="Z8" s="2569" t="s">
        <v>448</v>
      </c>
      <c r="AA8" s="757"/>
      <c r="AB8" s="2569" t="s">
        <v>449</v>
      </c>
      <c r="AC8" s="2569" t="s">
        <v>442</v>
      </c>
      <c r="AD8" s="757"/>
      <c r="AE8" s="2518"/>
      <c r="AF8" s="2518"/>
      <c r="AG8" s="2518"/>
      <c r="AH8" s="2518"/>
      <c r="AT8" s="384">
        <v>26</v>
      </c>
    </row>
    <row r="9" spans="1:46" ht="46.15" customHeight="1">
      <c r="C9" s="387"/>
      <c r="D9" s="2461"/>
      <c r="E9" s="2518"/>
      <c r="F9" s="2518"/>
      <c r="G9" s="760"/>
      <c r="H9" s="2570"/>
      <c r="I9" s="2574"/>
      <c r="J9" s="362" t="s">
        <v>450</v>
      </c>
      <c r="K9" s="362" t="s">
        <v>451</v>
      </c>
      <c r="L9" s="362" t="s">
        <v>452</v>
      </c>
      <c r="M9" s="368" t="s">
        <v>453</v>
      </c>
      <c r="N9" s="362" t="s">
        <v>454</v>
      </c>
      <c r="O9" s="362" t="s">
        <v>453</v>
      </c>
      <c r="P9" s="362" t="s">
        <v>455</v>
      </c>
      <c r="Q9" s="362" t="s">
        <v>453</v>
      </c>
      <c r="R9" s="2572"/>
      <c r="S9" s="756"/>
      <c r="T9" s="2570"/>
      <c r="U9" s="2570"/>
      <c r="V9" s="2570"/>
      <c r="W9" s="758"/>
      <c r="X9" s="2570"/>
      <c r="Y9" s="2570"/>
      <c r="Z9" s="2570"/>
      <c r="AA9" s="758"/>
      <c r="AB9" s="2570"/>
      <c r="AC9" s="2570"/>
      <c r="AD9" s="758"/>
      <c r="AE9" s="2518"/>
      <c r="AF9" s="2518"/>
      <c r="AG9" s="2518"/>
      <c r="AH9" s="251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456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177</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575" t="s">
        <v>457</v>
      </c>
      <c r="AF12" s="2575" t="s">
        <v>458</v>
      </c>
      <c r="AG12" s="2575" t="s">
        <v>459</v>
      </c>
      <c r="AH12" s="2575" t="s">
        <v>460</v>
      </c>
      <c r="AI12" s="384"/>
      <c r="AM12" s="448"/>
      <c r="AP12" s="437" t="s">
        <v>461</v>
      </c>
      <c r="AQ12" s="437" t="s">
        <v>461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576"/>
      <c r="AF13" s="2576"/>
      <c r="AG13" s="2576"/>
      <c r="AH13" s="257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6"/>
  <sheetViews>
    <sheetView showGridLines="0" workbookViewId="0"/>
  </sheetViews>
  <sheetFormatPr defaultColWidth="9.140625" defaultRowHeight="11.25" customHeight="1"/>
  <cols>
    <col min="1" max="2" width="9.140625" style="120"/>
  </cols>
  <sheetData>
    <row r="1" spans="1:2" ht="11.25" customHeight="1">
      <c r="A1" s="120" t="s">
        <v>196</v>
      </c>
      <c r="B1" s="120" t="s">
        <v>4569</v>
      </c>
    </row>
    <row r="2" spans="1:2" ht="11.25" customHeight="1">
      <c r="A2" s="120" t="s">
        <v>98</v>
      </c>
      <c r="B2" s="120" t="s">
        <v>4570</v>
      </c>
    </row>
    <row r="3" spans="1:2" ht="11.25" customHeight="1">
      <c r="A3" s="120" t="s">
        <v>111</v>
      </c>
      <c r="B3" s="120" t="s">
        <v>4571</v>
      </c>
    </row>
    <row r="4" spans="1:2" ht="11.25" customHeight="1">
      <c r="A4" s="120" t="s">
        <v>131</v>
      </c>
      <c r="B4" s="120" t="s">
        <v>4572</v>
      </c>
    </row>
    <row r="5" spans="1:2" ht="11.25" customHeight="1">
      <c r="A5" s="120" t="s">
        <v>151</v>
      </c>
      <c r="B5" s="120" t="s">
        <v>4573</v>
      </c>
    </row>
    <row r="6" spans="1:2" ht="11.25" customHeight="1">
      <c r="A6" s="120" t="s">
        <v>170</v>
      </c>
      <c r="B6" s="120" t="s">
        <v>4574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4575</v>
      </c>
      <c r="B1" s="766" t="s">
        <v>4576</v>
      </c>
    </row>
    <row r="2" spans="1:2" ht="11.25" customHeight="1">
      <c r="A2" s="766">
        <v>4213775</v>
      </c>
      <c r="B2" s="766" t="s">
        <v>1296</v>
      </c>
    </row>
    <row r="3" spans="1:2" ht="11.25" customHeight="1">
      <c r="A3" s="766">
        <v>4213784</v>
      </c>
      <c r="B3" s="766" t="s">
        <v>1331</v>
      </c>
    </row>
    <row r="4" spans="1:2" ht="11.25" customHeight="1">
      <c r="A4" s="766">
        <v>4213781</v>
      </c>
      <c r="B4" s="766" t="s">
        <v>1324</v>
      </c>
    </row>
    <row r="5" spans="1:2" ht="11.25" customHeight="1">
      <c r="A5" s="766">
        <v>4213776</v>
      </c>
      <c r="B5" s="766" t="s">
        <v>232</v>
      </c>
    </row>
    <row r="6" spans="1:2" ht="11.25" customHeight="1">
      <c r="A6" s="766">
        <v>4213777</v>
      </c>
      <c r="B6" s="766" t="s">
        <v>238</v>
      </c>
    </row>
    <row r="7" spans="1:2" ht="11.25" customHeight="1">
      <c r="A7" s="766">
        <v>4213778</v>
      </c>
      <c r="B7" s="766" t="s">
        <v>244</v>
      </c>
    </row>
    <row r="8" spans="1:2" ht="11.25" customHeight="1">
      <c r="A8" s="766">
        <v>4213780</v>
      </c>
      <c r="B8" s="766" t="s">
        <v>250</v>
      </c>
    </row>
    <row r="9" spans="1:2" ht="11.25" customHeight="1">
      <c r="A9" s="766">
        <v>4213779</v>
      </c>
      <c r="B9" s="766" t="s">
        <v>1465</v>
      </c>
    </row>
    <row r="10" spans="1:2" ht="11.25" customHeight="1">
      <c r="A10" s="766">
        <v>4213783</v>
      </c>
      <c r="B10" s="766" t="s">
        <v>1480</v>
      </c>
    </row>
    <row r="11" spans="1:2" ht="11.25" customHeight="1">
      <c r="A11" s="766">
        <v>4213782</v>
      </c>
      <c r="B11" s="766" t="s">
        <v>256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4575</v>
      </c>
      <c r="B1" s="766" t="s">
        <v>4577</v>
      </c>
    </row>
    <row r="2" spans="1:2" ht="11.25" customHeight="1">
      <c r="A2" s="766" t="s">
        <v>4578</v>
      </c>
      <c r="B2" s="766" t="s">
        <v>1579</v>
      </c>
    </row>
    <row r="3" spans="1:2" ht="11.25" customHeight="1">
      <c r="A3" s="766" t="s">
        <v>4579</v>
      </c>
      <c r="B3" s="766" t="s">
        <v>1589</v>
      </c>
    </row>
    <row r="4" spans="1:2" ht="11.25" customHeight="1">
      <c r="A4" s="766" t="s">
        <v>4580</v>
      </c>
      <c r="B4" s="766" t="s">
        <v>1598</v>
      </c>
    </row>
    <row r="5" spans="1:2" ht="11.25" customHeight="1">
      <c r="A5" s="766" t="s">
        <v>4581</v>
      </c>
      <c r="B5" s="766" t="s">
        <v>1607</v>
      </c>
    </row>
    <row r="6" spans="1:2" ht="11.25" customHeight="1">
      <c r="A6" s="766" t="s">
        <v>4582</v>
      </c>
      <c r="B6" s="766" t="s">
        <v>1613</v>
      </c>
    </row>
    <row r="7" spans="1:2" ht="11.25" customHeight="1">
      <c r="A7" s="766" t="s">
        <v>4583</v>
      </c>
      <c r="B7" s="766" t="s">
        <v>1621</v>
      </c>
    </row>
    <row r="8" spans="1:2" ht="11.25" customHeight="1">
      <c r="A8" s="766" t="s">
        <v>4584</v>
      </c>
      <c r="B8" s="766" t="s">
        <v>1628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59"/>
  <sheetViews>
    <sheetView showGridLines="0" workbookViewId="0"/>
  </sheetViews>
  <sheetFormatPr defaultRowHeight="11.25" customHeight="1"/>
  <sheetData>
    <row r="1" spans="1:7" ht="11.25" customHeight="1">
      <c r="A1" s="310" t="s">
        <v>3297</v>
      </c>
      <c r="B1" s="310" t="s">
        <v>3298</v>
      </c>
      <c r="C1" s="310" t="s">
        <v>3299</v>
      </c>
      <c r="D1" s="310" t="s">
        <v>3300</v>
      </c>
      <c r="E1" t="s">
        <v>3301</v>
      </c>
      <c r="F1" t="s">
        <v>3302</v>
      </c>
      <c r="G1" t="s">
        <v>3303</v>
      </c>
    </row>
    <row r="2" spans="1:7" ht="11.25" customHeight="1">
      <c r="A2" t="s">
        <v>16</v>
      </c>
      <c r="B2" t="s">
        <v>152</v>
      </c>
      <c r="C2" t="s">
        <v>3304</v>
      </c>
      <c r="D2" t="s">
        <v>152</v>
      </c>
      <c r="E2" t="s">
        <v>3304</v>
      </c>
      <c r="F2" t="s">
        <v>3305</v>
      </c>
      <c r="G2" t="s">
        <v>177</v>
      </c>
    </row>
    <row r="3" spans="1:7" ht="11.25" customHeight="1">
      <c r="A3" t="s">
        <v>16</v>
      </c>
      <c r="B3" t="s">
        <v>152</v>
      </c>
      <c r="C3" t="s">
        <v>3304</v>
      </c>
      <c r="D3" t="s">
        <v>3306</v>
      </c>
      <c r="E3" t="s">
        <v>3307</v>
      </c>
      <c r="F3" t="s">
        <v>3308</v>
      </c>
      <c r="G3" t="s">
        <v>102</v>
      </c>
    </row>
    <row r="4" spans="1:7" ht="11.25" customHeight="1">
      <c r="A4" t="s">
        <v>16</v>
      </c>
      <c r="B4" t="s">
        <v>152</v>
      </c>
      <c r="C4" t="s">
        <v>3304</v>
      </c>
      <c r="D4" t="s">
        <v>3309</v>
      </c>
      <c r="E4" t="s">
        <v>3310</v>
      </c>
      <c r="F4" t="s">
        <v>3308</v>
      </c>
      <c r="G4" t="s">
        <v>90</v>
      </c>
    </row>
    <row r="5" spans="1:7" ht="11.25" customHeight="1">
      <c r="A5" t="s">
        <v>16</v>
      </c>
      <c r="B5" t="s">
        <v>152</v>
      </c>
      <c r="C5" t="s">
        <v>3304</v>
      </c>
      <c r="D5" t="s">
        <v>3311</v>
      </c>
      <c r="E5" t="s">
        <v>3312</v>
      </c>
      <c r="F5" t="s">
        <v>3308</v>
      </c>
      <c r="G5" t="s">
        <v>91</v>
      </c>
    </row>
    <row r="6" spans="1:7" ht="11.25" customHeight="1">
      <c r="A6" t="s">
        <v>16</v>
      </c>
      <c r="B6" t="s">
        <v>152</v>
      </c>
      <c r="C6" t="s">
        <v>3304</v>
      </c>
      <c r="D6" t="s">
        <v>3313</v>
      </c>
      <c r="E6" t="s">
        <v>3314</v>
      </c>
      <c r="F6" t="s">
        <v>3308</v>
      </c>
      <c r="G6" t="s">
        <v>127</v>
      </c>
    </row>
    <row r="7" spans="1:7" ht="11.25" customHeight="1">
      <c r="A7" t="s">
        <v>16</v>
      </c>
      <c r="B7" t="s">
        <v>152</v>
      </c>
      <c r="C7" t="s">
        <v>3304</v>
      </c>
      <c r="D7" t="s">
        <v>3315</v>
      </c>
      <c r="E7" t="s">
        <v>3316</v>
      </c>
      <c r="F7" t="s">
        <v>3308</v>
      </c>
      <c r="G7" t="s">
        <v>93</v>
      </c>
    </row>
    <row r="8" spans="1:7" ht="11.25" customHeight="1">
      <c r="A8" t="s">
        <v>16</v>
      </c>
      <c r="B8" t="s">
        <v>152</v>
      </c>
      <c r="C8" t="s">
        <v>3304</v>
      </c>
      <c r="D8" t="s">
        <v>3317</v>
      </c>
      <c r="E8" t="s">
        <v>3318</v>
      </c>
      <c r="F8" t="s">
        <v>3308</v>
      </c>
      <c r="G8" t="s">
        <v>178</v>
      </c>
    </row>
    <row r="9" spans="1:7" ht="11.25" customHeight="1">
      <c r="A9" t="s">
        <v>16</v>
      </c>
      <c r="B9" t="s">
        <v>152</v>
      </c>
      <c r="C9" t="s">
        <v>3304</v>
      </c>
      <c r="D9" t="s">
        <v>3319</v>
      </c>
      <c r="E9" t="s">
        <v>3320</v>
      </c>
      <c r="F9" t="s">
        <v>3308</v>
      </c>
      <c r="G9" t="s">
        <v>214</v>
      </c>
    </row>
    <row r="10" spans="1:7" ht="11.25" customHeight="1">
      <c r="A10" t="s">
        <v>16</v>
      </c>
      <c r="B10" t="s">
        <v>152</v>
      </c>
      <c r="C10" t="s">
        <v>3304</v>
      </c>
      <c r="D10" t="s">
        <v>3321</v>
      </c>
      <c r="E10" t="s">
        <v>3322</v>
      </c>
      <c r="F10" t="s">
        <v>3308</v>
      </c>
      <c r="G10" t="s">
        <v>215</v>
      </c>
    </row>
    <row r="11" spans="1:7" ht="11.25" customHeight="1">
      <c r="A11" t="s">
        <v>16</v>
      </c>
      <c r="B11" t="s">
        <v>152</v>
      </c>
      <c r="C11" t="s">
        <v>3304</v>
      </c>
      <c r="D11" t="s">
        <v>3323</v>
      </c>
      <c r="E11" t="s">
        <v>3324</v>
      </c>
      <c r="F11" t="s">
        <v>3308</v>
      </c>
      <c r="G11" t="s">
        <v>216</v>
      </c>
    </row>
    <row r="12" spans="1:7" ht="11.25" customHeight="1">
      <c r="A12" t="s">
        <v>16</v>
      </c>
      <c r="B12" t="s">
        <v>152</v>
      </c>
      <c r="C12" t="s">
        <v>3304</v>
      </c>
      <c r="D12" t="s">
        <v>3325</v>
      </c>
      <c r="E12" t="s">
        <v>3326</v>
      </c>
      <c r="F12" t="s">
        <v>3308</v>
      </c>
      <c r="G12" t="s">
        <v>217</v>
      </c>
    </row>
    <row r="13" spans="1:7" ht="11.25" customHeight="1">
      <c r="A13" t="s">
        <v>16</v>
      </c>
      <c r="B13" t="s">
        <v>152</v>
      </c>
      <c r="C13" t="s">
        <v>3304</v>
      </c>
      <c r="D13" t="s">
        <v>3327</v>
      </c>
      <c r="E13" t="s">
        <v>3328</v>
      </c>
      <c r="F13" t="s">
        <v>3308</v>
      </c>
      <c r="G13" t="s">
        <v>218</v>
      </c>
    </row>
    <row r="14" spans="1:7" ht="11.25" customHeight="1">
      <c r="A14" t="s">
        <v>16</v>
      </c>
      <c r="B14" t="s">
        <v>152</v>
      </c>
      <c r="C14" t="s">
        <v>3304</v>
      </c>
      <c r="D14" t="s">
        <v>3329</v>
      </c>
      <c r="E14" t="s">
        <v>3330</v>
      </c>
      <c r="F14" t="s">
        <v>3308</v>
      </c>
      <c r="G14" t="s">
        <v>219</v>
      </c>
    </row>
    <row r="15" spans="1:7" ht="11.25" customHeight="1">
      <c r="A15" t="s">
        <v>16</v>
      </c>
      <c r="B15" t="s">
        <v>152</v>
      </c>
      <c r="C15" t="s">
        <v>3304</v>
      </c>
      <c r="D15" t="s">
        <v>3331</v>
      </c>
      <c r="E15" t="s">
        <v>3332</v>
      </c>
      <c r="F15" t="s">
        <v>3308</v>
      </c>
      <c r="G15" t="s">
        <v>1540</v>
      </c>
    </row>
    <row r="16" spans="1:7" ht="11.25" customHeight="1">
      <c r="A16" t="s">
        <v>16</v>
      </c>
      <c r="B16" t="s">
        <v>152</v>
      </c>
      <c r="C16" t="s">
        <v>3304</v>
      </c>
      <c r="D16" t="s">
        <v>3333</v>
      </c>
      <c r="E16" t="s">
        <v>3334</v>
      </c>
      <c r="F16" t="s">
        <v>3308</v>
      </c>
      <c r="G16" t="s">
        <v>1546</v>
      </c>
    </row>
    <row r="17" spans="1:7" ht="11.25" customHeight="1">
      <c r="A17" t="s">
        <v>16</v>
      </c>
      <c r="B17" t="s">
        <v>152</v>
      </c>
      <c r="C17" t="s">
        <v>3304</v>
      </c>
      <c r="D17" t="s">
        <v>3335</v>
      </c>
      <c r="E17" t="s">
        <v>3336</v>
      </c>
      <c r="F17" t="s">
        <v>3308</v>
      </c>
      <c r="G17" t="s">
        <v>1558</v>
      </c>
    </row>
    <row r="18" spans="1:7" ht="11.25" customHeight="1">
      <c r="A18" t="s">
        <v>16</v>
      </c>
      <c r="B18" t="s">
        <v>152</v>
      </c>
      <c r="C18" t="s">
        <v>3304</v>
      </c>
      <c r="D18" t="s">
        <v>3337</v>
      </c>
      <c r="E18" t="s">
        <v>3338</v>
      </c>
      <c r="F18" t="s">
        <v>3308</v>
      </c>
      <c r="G18" t="s">
        <v>1572</v>
      </c>
    </row>
    <row r="19" spans="1:7" ht="11.25" customHeight="1">
      <c r="A19" t="s">
        <v>16</v>
      </c>
      <c r="B19" t="s">
        <v>152</v>
      </c>
      <c r="C19" t="s">
        <v>3304</v>
      </c>
      <c r="D19" t="s">
        <v>3339</v>
      </c>
      <c r="E19" t="s">
        <v>3340</v>
      </c>
      <c r="F19" t="s">
        <v>3308</v>
      </c>
      <c r="G19" t="s">
        <v>1584</v>
      </c>
    </row>
    <row r="20" spans="1:7" ht="11.25" customHeight="1">
      <c r="A20" t="s">
        <v>16</v>
      </c>
      <c r="B20" t="s">
        <v>3341</v>
      </c>
      <c r="C20" t="s">
        <v>3342</v>
      </c>
      <c r="D20" t="s">
        <v>3341</v>
      </c>
      <c r="E20" t="s">
        <v>3342</v>
      </c>
      <c r="F20" t="s">
        <v>3305</v>
      </c>
      <c r="G20" t="s">
        <v>1593</v>
      </c>
    </row>
    <row r="21" spans="1:7" ht="11.25" customHeight="1">
      <c r="A21" t="s">
        <v>16</v>
      </c>
      <c r="B21" t="s">
        <v>3341</v>
      </c>
      <c r="C21" t="s">
        <v>3342</v>
      </c>
      <c r="D21" t="s">
        <v>3343</v>
      </c>
      <c r="E21" t="s">
        <v>3344</v>
      </c>
      <c r="F21" t="s">
        <v>3345</v>
      </c>
      <c r="G21" t="s">
        <v>1609</v>
      </c>
    </row>
    <row r="22" spans="1:7" ht="11.25" customHeight="1">
      <c r="A22" t="s">
        <v>16</v>
      </c>
      <c r="B22" t="s">
        <v>3341</v>
      </c>
      <c r="C22" t="s">
        <v>3342</v>
      </c>
      <c r="D22" t="s">
        <v>3346</v>
      </c>
      <c r="E22" t="s">
        <v>3347</v>
      </c>
      <c r="F22" t="s">
        <v>3308</v>
      </c>
      <c r="G22" t="s">
        <v>1616</v>
      </c>
    </row>
    <row r="23" spans="1:7" ht="11.25" customHeight="1">
      <c r="A23" t="s">
        <v>16</v>
      </c>
      <c r="B23" t="s">
        <v>3341</v>
      </c>
      <c r="C23" t="s">
        <v>3342</v>
      </c>
      <c r="D23" t="s">
        <v>3348</v>
      </c>
      <c r="E23" t="s">
        <v>3349</v>
      </c>
      <c r="F23" t="s">
        <v>3308</v>
      </c>
      <c r="G23" t="s">
        <v>1624</v>
      </c>
    </row>
    <row r="24" spans="1:7" ht="11.25" customHeight="1">
      <c r="A24" t="s">
        <v>16</v>
      </c>
      <c r="B24" t="s">
        <v>3341</v>
      </c>
      <c r="C24" t="s">
        <v>3342</v>
      </c>
      <c r="D24" t="s">
        <v>3350</v>
      </c>
      <c r="E24" t="s">
        <v>3351</v>
      </c>
      <c r="F24" t="s">
        <v>3308</v>
      </c>
      <c r="G24" t="s">
        <v>1631</v>
      </c>
    </row>
    <row r="25" spans="1:7" ht="11.25" customHeight="1">
      <c r="A25" t="s">
        <v>16</v>
      </c>
      <c r="B25" t="s">
        <v>3341</v>
      </c>
      <c r="C25" t="s">
        <v>3342</v>
      </c>
      <c r="D25" t="s">
        <v>3352</v>
      </c>
      <c r="E25" t="s">
        <v>3353</v>
      </c>
      <c r="F25" t="s">
        <v>3308</v>
      </c>
      <c r="G25" t="s">
        <v>1635</v>
      </c>
    </row>
    <row r="26" spans="1:7" ht="11.25" customHeight="1">
      <c r="A26" t="s">
        <v>16</v>
      </c>
      <c r="B26" t="s">
        <v>3341</v>
      </c>
      <c r="C26" t="s">
        <v>3342</v>
      </c>
      <c r="D26" t="s">
        <v>3354</v>
      </c>
      <c r="E26" t="s">
        <v>3355</v>
      </c>
      <c r="F26" t="s">
        <v>3308</v>
      </c>
      <c r="G26" t="s">
        <v>1640</v>
      </c>
    </row>
    <row r="27" spans="1:7" ht="11.25" customHeight="1">
      <c r="A27" t="s">
        <v>16</v>
      </c>
      <c r="B27" t="s">
        <v>3341</v>
      </c>
      <c r="C27" t="s">
        <v>3342</v>
      </c>
      <c r="D27" t="s">
        <v>3356</v>
      </c>
      <c r="E27" t="s">
        <v>3357</v>
      </c>
      <c r="F27" t="s">
        <v>3308</v>
      </c>
      <c r="G27" t="s">
        <v>1648</v>
      </c>
    </row>
    <row r="28" spans="1:7" ht="11.25" customHeight="1">
      <c r="A28" t="s">
        <v>16</v>
      </c>
      <c r="B28" t="s">
        <v>3341</v>
      </c>
      <c r="C28" t="s">
        <v>3342</v>
      </c>
      <c r="D28" t="s">
        <v>3358</v>
      </c>
      <c r="E28" t="s">
        <v>3359</v>
      </c>
      <c r="F28" t="s">
        <v>3308</v>
      </c>
      <c r="G28" t="s">
        <v>1650</v>
      </c>
    </row>
    <row r="29" spans="1:7" ht="11.25" customHeight="1">
      <c r="A29" t="s">
        <v>16</v>
      </c>
      <c r="B29" t="s">
        <v>3341</v>
      </c>
      <c r="C29" t="s">
        <v>3342</v>
      </c>
      <c r="D29" t="s">
        <v>3360</v>
      </c>
      <c r="E29" t="s">
        <v>3361</v>
      </c>
      <c r="F29" t="s">
        <v>3308</v>
      </c>
      <c r="G29" t="s">
        <v>1653</v>
      </c>
    </row>
    <row r="30" spans="1:7" ht="11.25" customHeight="1">
      <c r="A30" t="s">
        <v>16</v>
      </c>
      <c r="B30" t="s">
        <v>3341</v>
      </c>
      <c r="C30" t="s">
        <v>3342</v>
      </c>
      <c r="D30" t="s">
        <v>3362</v>
      </c>
      <c r="E30" t="s">
        <v>3363</v>
      </c>
      <c r="F30" t="s">
        <v>3308</v>
      </c>
      <c r="G30" t="s">
        <v>1659</v>
      </c>
    </row>
    <row r="31" spans="1:7" ht="11.25" customHeight="1">
      <c r="A31" t="s">
        <v>16</v>
      </c>
      <c r="B31" t="s">
        <v>3341</v>
      </c>
      <c r="C31" t="s">
        <v>3342</v>
      </c>
      <c r="D31" t="s">
        <v>3364</v>
      </c>
      <c r="E31" t="s">
        <v>3365</v>
      </c>
      <c r="F31" t="s">
        <v>3308</v>
      </c>
      <c r="G31" t="s">
        <v>1661</v>
      </c>
    </row>
    <row r="32" spans="1:7" ht="11.25" customHeight="1">
      <c r="A32" t="s">
        <v>16</v>
      </c>
      <c r="B32" t="s">
        <v>3366</v>
      </c>
      <c r="C32" t="s">
        <v>3367</v>
      </c>
      <c r="D32" t="s">
        <v>3368</v>
      </c>
      <c r="E32" t="s">
        <v>3369</v>
      </c>
      <c r="F32" t="s">
        <v>3308</v>
      </c>
      <c r="G32" t="s">
        <v>1663</v>
      </c>
    </row>
    <row r="33" spans="1:7" ht="11.25" customHeight="1">
      <c r="A33" t="s">
        <v>16</v>
      </c>
      <c r="B33" t="s">
        <v>3366</v>
      </c>
      <c r="C33" t="s">
        <v>3367</v>
      </c>
      <c r="D33" t="s">
        <v>3366</v>
      </c>
      <c r="E33" t="s">
        <v>3367</v>
      </c>
      <c r="F33" t="s">
        <v>3305</v>
      </c>
      <c r="G33" t="s">
        <v>1665</v>
      </c>
    </row>
    <row r="34" spans="1:7" ht="11.25" customHeight="1">
      <c r="A34" t="s">
        <v>16</v>
      </c>
      <c r="B34" t="s">
        <v>3366</v>
      </c>
      <c r="C34" t="s">
        <v>3367</v>
      </c>
      <c r="D34" t="s">
        <v>3370</v>
      </c>
      <c r="E34" t="s">
        <v>3371</v>
      </c>
      <c r="F34" t="s">
        <v>3308</v>
      </c>
      <c r="G34" t="s">
        <v>1670</v>
      </c>
    </row>
    <row r="35" spans="1:7" ht="11.25" customHeight="1">
      <c r="A35" t="s">
        <v>16</v>
      </c>
      <c r="B35" t="s">
        <v>3366</v>
      </c>
      <c r="C35" t="s">
        <v>3367</v>
      </c>
      <c r="D35" t="s">
        <v>3372</v>
      </c>
      <c r="E35" t="s">
        <v>3373</v>
      </c>
      <c r="F35" t="s">
        <v>3308</v>
      </c>
      <c r="G35" t="s">
        <v>1675</v>
      </c>
    </row>
    <row r="36" spans="1:7" ht="11.25" customHeight="1">
      <c r="A36" t="s">
        <v>16</v>
      </c>
      <c r="B36" t="s">
        <v>3366</v>
      </c>
      <c r="C36" t="s">
        <v>3367</v>
      </c>
      <c r="D36" t="s">
        <v>3374</v>
      </c>
      <c r="E36" t="s">
        <v>3375</v>
      </c>
      <c r="F36" t="s">
        <v>3308</v>
      </c>
      <c r="G36" t="s">
        <v>1679</v>
      </c>
    </row>
    <row r="37" spans="1:7" ht="11.25" customHeight="1">
      <c r="A37" t="s">
        <v>16</v>
      </c>
      <c r="B37" t="s">
        <v>3366</v>
      </c>
      <c r="C37" t="s">
        <v>3367</v>
      </c>
      <c r="D37" t="s">
        <v>3376</v>
      </c>
      <c r="E37" t="s">
        <v>3377</v>
      </c>
      <c r="F37" t="s">
        <v>3308</v>
      </c>
      <c r="G37" t="s">
        <v>1687</v>
      </c>
    </row>
    <row r="38" spans="1:7" ht="11.25" customHeight="1">
      <c r="A38" t="s">
        <v>16</v>
      </c>
      <c r="B38" t="s">
        <v>124</v>
      </c>
      <c r="C38" t="s">
        <v>3378</v>
      </c>
      <c r="D38" t="s">
        <v>124</v>
      </c>
      <c r="E38" t="s">
        <v>3378</v>
      </c>
      <c r="F38" t="s">
        <v>3305</v>
      </c>
      <c r="G38" t="s">
        <v>1693</v>
      </c>
    </row>
    <row r="39" spans="1:7" ht="11.25" customHeight="1">
      <c r="A39" t="s">
        <v>16</v>
      </c>
      <c r="B39" t="s">
        <v>124</v>
      </c>
      <c r="C39" t="s">
        <v>3378</v>
      </c>
      <c r="D39" t="s">
        <v>3379</v>
      </c>
      <c r="E39" t="s">
        <v>3380</v>
      </c>
      <c r="F39" t="s">
        <v>3345</v>
      </c>
      <c r="G39" t="s">
        <v>1698</v>
      </c>
    </row>
    <row r="40" spans="1:7" ht="11.25" customHeight="1">
      <c r="A40" t="s">
        <v>16</v>
      </c>
      <c r="B40" t="s">
        <v>124</v>
      </c>
      <c r="C40" t="s">
        <v>3378</v>
      </c>
      <c r="D40" t="s">
        <v>3381</v>
      </c>
      <c r="E40" t="s">
        <v>3382</v>
      </c>
      <c r="F40" t="s">
        <v>3308</v>
      </c>
      <c r="G40" t="s">
        <v>1702</v>
      </c>
    </row>
    <row r="41" spans="1:7" ht="11.25" customHeight="1">
      <c r="A41" t="s">
        <v>16</v>
      </c>
      <c r="B41" t="s">
        <v>124</v>
      </c>
      <c r="C41" t="s">
        <v>3378</v>
      </c>
      <c r="D41" t="s">
        <v>3383</v>
      </c>
      <c r="E41" t="s">
        <v>3384</v>
      </c>
      <c r="F41" t="s">
        <v>3308</v>
      </c>
      <c r="G41" t="s">
        <v>1705</v>
      </c>
    </row>
    <row r="42" spans="1:7" ht="11.25" customHeight="1">
      <c r="A42" t="s">
        <v>16</v>
      </c>
      <c r="B42" t="s">
        <v>124</v>
      </c>
      <c r="C42" t="s">
        <v>3378</v>
      </c>
      <c r="D42" t="s">
        <v>3385</v>
      </c>
      <c r="E42" t="s">
        <v>3386</v>
      </c>
      <c r="F42" t="s">
        <v>3308</v>
      </c>
      <c r="G42" t="s">
        <v>1712</v>
      </c>
    </row>
    <row r="43" spans="1:7" ht="11.25" customHeight="1">
      <c r="A43" t="s">
        <v>16</v>
      </c>
      <c r="B43" t="s">
        <v>124</v>
      </c>
      <c r="C43" t="s">
        <v>3378</v>
      </c>
      <c r="D43" t="s">
        <v>3387</v>
      </c>
      <c r="E43" t="s">
        <v>3388</v>
      </c>
      <c r="F43" t="s">
        <v>3308</v>
      </c>
      <c r="G43" t="s">
        <v>1721</v>
      </c>
    </row>
    <row r="44" spans="1:7" ht="11.25" customHeight="1">
      <c r="A44" t="s">
        <v>16</v>
      </c>
      <c r="B44" t="s">
        <v>124</v>
      </c>
      <c r="C44" t="s">
        <v>3378</v>
      </c>
      <c r="D44" t="s">
        <v>125</v>
      </c>
      <c r="E44" t="s">
        <v>126</v>
      </c>
      <c r="F44" t="s">
        <v>3308</v>
      </c>
      <c r="G44" t="s">
        <v>123</v>
      </c>
    </row>
    <row r="45" spans="1:7" ht="11.25" customHeight="1">
      <c r="A45" t="s">
        <v>16</v>
      </c>
      <c r="B45" t="s">
        <v>124</v>
      </c>
      <c r="C45" t="s">
        <v>3378</v>
      </c>
      <c r="D45" t="s">
        <v>3389</v>
      </c>
      <c r="E45" t="s">
        <v>3390</v>
      </c>
      <c r="F45" t="s">
        <v>3308</v>
      </c>
      <c r="G45" t="s">
        <v>1729</v>
      </c>
    </row>
    <row r="46" spans="1:7" ht="11.25" customHeight="1">
      <c r="A46" t="s">
        <v>16</v>
      </c>
      <c r="B46" t="s">
        <v>124</v>
      </c>
      <c r="C46" t="s">
        <v>3378</v>
      </c>
      <c r="D46" t="s">
        <v>3391</v>
      </c>
      <c r="E46" t="s">
        <v>3392</v>
      </c>
      <c r="F46" t="s">
        <v>3308</v>
      </c>
      <c r="G46" t="s">
        <v>1735</v>
      </c>
    </row>
    <row r="47" spans="1:7" ht="11.25" customHeight="1">
      <c r="A47" t="s">
        <v>16</v>
      </c>
      <c r="B47" t="s">
        <v>124</v>
      </c>
      <c r="C47" t="s">
        <v>3378</v>
      </c>
      <c r="D47" t="s">
        <v>3393</v>
      </c>
      <c r="E47" t="s">
        <v>3394</v>
      </c>
      <c r="F47" t="s">
        <v>3308</v>
      </c>
      <c r="G47" t="s">
        <v>1740</v>
      </c>
    </row>
    <row r="48" spans="1:7" ht="11.25" customHeight="1">
      <c r="A48" t="s">
        <v>16</v>
      </c>
      <c r="B48" t="s">
        <v>124</v>
      </c>
      <c r="C48" t="s">
        <v>3378</v>
      </c>
      <c r="D48" t="s">
        <v>3395</v>
      </c>
      <c r="E48" t="s">
        <v>3396</v>
      </c>
      <c r="F48" t="s">
        <v>3308</v>
      </c>
      <c r="G48" t="s">
        <v>1743</v>
      </c>
    </row>
    <row r="49" spans="1:7" ht="11.25" customHeight="1">
      <c r="A49" t="s">
        <v>16</v>
      </c>
      <c r="B49" t="s">
        <v>124</v>
      </c>
      <c r="C49" t="s">
        <v>3378</v>
      </c>
      <c r="D49" t="s">
        <v>129</v>
      </c>
      <c r="E49" t="s">
        <v>130</v>
      </c>
      <c r="F49" t="s">
        <v>3308</v>
      </c>
      <c r="G49" t="s">
        <v>128</v>
      </c>
    </row>
    <row r="50" spans="1:7" ht="11.25" customHeight="1">
      <c r="A50" t="s">
        <v>16</v>
      </c>
      <c r="B50" t="s">
        <v>124</v>
      </c>
      <c r="C50" t="s">
        <v>3378</v>
      </c>
      <c r="D50" t="s">
        <v>3397</v>
      </c>
      <c r="E50" t="s">
        <v>3398</v>
      </c>
      <c r="F50" t="s">
        <v>3345</v>
      </c>
      <c r="G50" t="s">
        <v>1750</v>
      </c>
    </row>
    <row r="51" spans="1:7" ht="11.25" customHeight="1">
      <c r="A51" t="s">
        <v>16</v>
      </c>
      <c r="B51" t="s">
        <v>3399</v>
      </c>
      <c r="C51" t="s">
        <v>3400</v>
      </c>
      <c r="D51" t="s">
        <v>3399</v>
      </c>
      <c r="E51" t="s">
        <v>3400</v>
      </c>
      <c r="F51" t="s">
        <v>3305</v>
      </c>
      <c r="G51" t="s">
        <v>1754</v>
      </c>
    </row>
    <row r="52" spans="1:7" ht="11.25" customHeight="1">
      <c r="A52" t="s">
        <v>16</v>
      </c>
      <c r="B52" t="s">
        <v>3399</v>
      </c>
      <c r="C52" t="s">
        <v>3400</v>
      </c>
      <c r="D52" t="s">
        <v>3401</v>
      </c>
      <c r="E52" t="s">
        <v>3402</v>
      </c>
      <c r="F52" t="s">
        <v>3308</v>
      </c>
      <c r="G52" t="s">
        <v>1756</v>
      </c>
    </row>
    <row r="53" spans="1:7" ht="11.25" customHeight="1">
      <c r="A53" t="s">
        <v>16</v>
      </c>
      <c r="B53" t="s">
        <v>3399</v>
      </c>
      <c r="C53" t="s">
        <v>3400</v>
      </c>
      <c r="D53" t="s">
        <v>3403</v>
      </c>
      <c r="E53" t="s">
        <v>3404</v>
      </c>
      <c r="F53" t="s">
        <v>3308</v>
      </c>
      <c r="G53" t="s">
        <v>1759</v>
      </c>
    </row>
    <row r="54" spans="1:7" ht="11.25" customHeight="1">
      <c r="A54" t="s">
        <v>16</v>
      </c>
      <c r="B54" t="s">
        <v>3399</v>
      </c>
      <c r="C54" t="s">
        <v>3400</v>
      </c>
      <c r="D54" t="s">
        <v>3405</v>
      </c>
      <c r="E54" t="s">
        <v>3406</v>
      </c>
      <c r="F54" t="s">
        <v>3308</v>
      </c>
      <c r="G54" t="s">
        <v>1764</v>
      </c>
    </row>
    <row r="55" spans="1:7" ht="11.25" customHeight="1">
      <c r="A55" t="s">
        <v>16</v>
      </c>
      <c r="B55" t="s">
        <v>3399</v>
      </c>
      <c r="C55" t="s">
        <v>3400</v>
      </c>
      <c r="D55" t="s">
        <v>3407</v>
      </c>
      <c r="E55" t="s">
        <v>3408</v>
      </c>
      <c r="F55" t="s">
        <v>3308</v>
      </c>
      <c r="G55" t="s">
        <v>1767</v>
      </c>
    </row>
    <row r="56" spans="1:7" ht="11.25" customHeight="1">
      <c r="A56" t="s">
        <v>16</v>
      </c>
      <c r="B56" t="s">
        <v>3399</v>
      </c>
      <c r="C56" t="s">
        <v>3400</v>
      </c>
      <c r="D56" t="s">
        <v>3409</v>
      </c>
      <c r="E56" t="s">
        <v>3410</v>
      </c>
      <c r="F56" t="s">
        <v>3308</v>
      </c>
      <c r="G56" t="s">
        <v>1770</v>
      </c>
    </row>
    <row r="57" spans="1:7" ht="11.25" customHeight="1">
      <c r="A57" t="s">
        <v>16</v>
      </c>
      <c r="B57" t="s">
        <v>3399</v>
      </c>
      <c r="C57" t="s">
        <v>3400</v>
      </c>
      <c r="D57" t="s">
        <v>3411</v>
      </c>
      <c r="E57" t="s">
        <v>3412</v>
      </c>
      <c r="F57" t="s">
        <v>3308</v>
      </c>
      <c r="G57" t="s">
        <v>1773</v>
      </c>
    </row>
    <row r="58" spans="1:7" ht="11.25" customHeight="1">
      <c r="A58" t="s">
        <v>16</v>
      </c>
      <c r="B58" t="s">
        <v>3399</v>
      </c>
      <c r="C58" t="s">
        <v>3400</v>
      </c>
      <c r="D58" t="s">
        <v>3413</v>
      </c>
      <c r="E58" t="s">
        <v>3414</v>
      </c>
      <c r="F58" t="s">
        <v>3308</v>
      </c>
      <c r="G58" t="s">
        <v>1777</v>
      </c>
    </row>
    <row r="59" spans="1:7" ht="11.25" customHeight="1">
      <c r="A59" t="s">
        <v>16</v>
      </c>
      <c r="B59" t="s">
        <v>3415</v>
      </c>
      <c r="C59" t="s">
        <v>3416</v>
      </c>
      <c r="D59" t="s">
        <v>3415</v>
      </c>
      <c r="E59" t="s">
        <v>3416</v>
      </c>
      <c r="F59" t="s">
        <v>3305</v>
      </c>
      <c r="G59" t="s">
        <v>1780</v>
      </c>
    </row>
    <row r="60" spans="1:7" ht="11.25" customHeight="1">
      <c r="A60" t="s">
        <v>16</v>
      </c>
      <c r="B60" t="s">
        <v>3415</v>
      </c>
      <c r="C60" t="s">
        <v>3416</v>
      </c>
      <c r="D60" t="s">
        <v>3417</v>
      </c>
      <c r="E60" t="s">
        <v>3418</v>
      </c>
      <c r="F60" t="s">
        <v>3308</v>
      </c>
      <c r="G60" t="s">
        <v>3419</v>
      </c>
    </row>
    <row r="61" spans="1:7" ht="11.25" customHeight="1">
      <c r="A61" t="s">
        <v>16</v>
      </c>
      <c r="B61" t="s">
        <v>3415</v>
      </c>
      <c r="C61" t="s">
        <v>3416</v>
      </c>
      <c r="D61" t="s">
        <v>3420</v>
      </c>
      <c r="E61" t="s">
        <v>3421</v>
      </c>
      <c r="F61" t="s">
        <v>3308</v>
      </c>
      <c r="G61" t="s">
        <v>3422</v>
      </c>
    </row>
    <row r="62" spans="1:7" ht="11.25" customHeight="1">
      <c r="A62" t="s">
        <v>16</v>
      </c>
      <c r="B62" t="s">
        <v>3415</v>
      </c>
      <c r="C62" t="s">
        <v>3416</v>
      </c>
      <c r="D62" t="s">
        <v>3423</v>
      </c>
      <c r="E62" t="s">
        <v>3424</v>
      </c>
      <c r="F62" t="s">
        <v>3308</v>
      </c>
      <c r="G62" t="s">
        <v>3425</v>
      </c>
    </row>
    <row r="63" spans="1:7" ht="11.25" customHeight="1">
      <c r="A63" t="s">
        <v>16</v>
      </c>
      <c r="B63" t="s">
        <v>3415</v>
      </c>
      <c r="C63" t="s">
        <v>3416</v>
      </c>
      <c r="D63" t="s">
        <v>3426</v>
      </c>
      <c r="E63" t="s">
        <v>3427</v>
      </c>
      <c r="F63" t="s">
        <v>3308</v>
      </c>
      <c r="G63" t="s">
        <v>3428</v>
      </c>
    </row>
    <row r="64" spans="1:7" ht="11.25" customHeight="1">
      <c r="A64" t="s">
        <v>16</v>
      </c>
      <c r="B64" t="s">
        <v>3415</v>
      </c>
      <c r="C64" t="s">
        <v>3416</v>
      </c>
      <c r="D64" t="s">
        <v>3429</v>
      </c>
      <c r="E64" t="s">
        <v>3430</v>
      </c>
      <c r="F64" t="s">
        <v>3308</v>
      </c>
      <c r="G64" t="s">
        <v>3431</v>
      </c>
    </row>
    <row r="65" spans="1:7" ht="11.25" customHeight="1">
      <c r="A65" t="s">
        <v>16</v>
      </c>
      <c r="B65" t="s">
        <v>3415</v>
      </c>
      <c r="C65" t="s">
        <v>3416</v>
      </c>
      <c r="D65" t="s">
        <v>3432</v>
      </c>
      <c r="E65" t="s">
        <v>3433</v>
      </c>
      <c r="F65" t="s">
        <v>3308</v>
      </c>
      <c r="G65" t="s">
        <v>3434</v>
      </c>
    </row>
    <row r="66" spans="1:7" ht="11.25" customHeight="1">
      <c r="A66" t="s">
        <v>16</v>
      </c>
      <c r="B66" t="s">
        <v>3415</v>
      </c>
      <c r="C66" t="s">
        <v>3416</v>
      </c>
      <c r="D66" t="s">
        <v>3435</v>
      </c>
      <c r="E66" t="s">
        <v>3436</v>
      </c>
      <c r="F66" t="s">
        <v>3308</v>
      </c>
      <c r="G66" t="s">
        <v>2097</v>
      </c>
    </row>
    <row r="67" spans="1:7" ht="11.25" customHeight="1">
      <c r="A67" t="s">
        <v>16</v>
      </c>
      <c r="B67" t="s">
        <v>3415</v>
      </c>
      <c r="C67" t="s">
        <v>3416</v>
      </c>
      <c r="D67" t="s">
        <v>3437</v>
      </c>
      <c r="E67" t="s">
        <v>3438</v>
      </c>
      <c r="F67" t="s">
        <v>3308</v>
      </c>
      <c r="G67" t="s">
        <v>3439</v>
      </c>
    </row>
    <row r="68" spans="1:7" ht="11.25" customHeight="1">
      <c r="A68" t="s">
        <v>16</v>
      </c>
      <c r="B68" t="s">
        <v>3415</v>
      </c>
      <c r="C68" t="s">
        <v>3416</v>
      </c>
      <c r="D68" t="s">
        <v>3440</v>
      </c>
      <c r="E68" t="s">
        <v>3441</v>
      </c>
      <c r="F68" t="s">
        <v>3308</v>
      </c>
      <c r="G68" t="s">
        <v>2300</v>
      </c>
    </row>
    <row r="69" spans="1:7" ht="11.25" customHeight="1">
      <c r="A69" t="s">
        <v>16</v>
      </c>
      <c r="B69" t="s">
        <v>3415</v>
      </c>
      <c r="C69" t="s">
        <v>3416</v>
      </c>
      <c r="D69" t="s">
        <v>3442</v>
      </c>
      <c r="E69" t="s">
        <v>3443</v>
      </c>
      <c r="F69" t="s">
        <v>3308</v>
      </c>
      <c r="G69" t="s">
        <v>3444</v>
      </c>
    </row>
    <row r="70" spans="1:7" ht="11.25" customHeight="1">
      <c r="A70" t="s">
        <v>16</v>
      </c>
      <c r="B70" t="s">
        <v>3445</v>
      </c>
      <c r="C70" t="s">
        <v>3446</v>
      </c>
      <c r="D70" t="s">
        <v>3447</v>
      </c>
      <c r="E70" t="s">
        <v>3448</v>
      </c>
      <c r="F70" t="s">
        <v>3308</v>
      </c>
      <c r="G70" t="s">
        <v>3449</v>
      </c>
    </row>
    <row r="71" spans="1:7" ht="11.25" customHeight="1">
      <c r="A71" t="s">
        <v>16</v>
      </c>
      <c r="B71" t="s">
        <v>3445</v>
      </c>
      <c r="C71" t="s">
        <v>3446</v>
      </c>
      <c r="D71" t="s">
        <v>3445</v>
      </c>
      <c r="E71" t="s">
        <v>3446</v>
      </c>
      <c r="F71" t="s">
        <v>3305</v>
      </c>
      <c r="G71" t="s">
        <v>3450</v>
      </c>
    </row>
    <row r="72" spans="1:7" ht="11.25" customHeight="1">
      <c r="A72" t="s">
        <v>16</v>
      </c>
      <c r="B72" t="s">
        <v>3445</v>
      </c>
      <c r="C72" t="s">
        <v>3446</v>
      </c>
      <c r="D72" t="s">
        <v>3451</v>
      </c>
      <c r="E72" t="s">
        <v>3452</v>
      </c>
      <c r="F72" t="s">
        <v>3308</v>
      </c>
      <c r="G72" t="s">
        <v>3453</v>
      </c>
    </row>
    <row r="73" spans="1:7" ht="11.25" customHeight="1">
      <c r="A73" t="s">
        <v>16</v>
      </c>
      <c r="B73" t="s">
        <v>3445</v>
      </c>
      <c r="C73" t="s">
        <v>3446</v>
      </c>
      <c r="D73" t="s">
        <v>3454</v>
      </c>
      <c r="E73" t="s">
        <v>3455</v>
      </c>
      <c r="F73" t="s">
        <v>3308</v>
      </c>
      <c r="G73" t="s">
        <v>3456</v>
      </c>
    </row>
    <row r="74" spans="1:7" ht="11.25" customHeight="1">
      <c r="A74" t="s">
        <v>16</v>
      </c>
      <c r="B74" t="s">
        <v>3445</v>
      </c>
      <c r="C74" t="s">
        <v>3446</v>
      </c>
      <c r="D74" t="s">
        <v>3457</v>
      </c>
      <c r="E74" t="s">
        <v>3458</v>
      </c>
      <c r="F74" t="s">
        <v>3308</v>
      </c>
      <c r="G74" t="s">
        <v>3459</v>
      </c>
    </row>
    <row r="75" spans="1:7" ht="11.25" customHeight="1">
      <c r="A75" t="s">
        <v>16</v>
      </c>
      <c r="B75" t="s">
        <v>3460</v>
      </c>
      <c r="C75" t="s">
        <v>3461</v>
      </c>
      <c r="D75" t="s">
        <v>3460</v>
      </c>
      <c r="E75" t="s">
        <v>3461</v>
      </c>
      <c r="F75" t="s">
        <v>3305</v>
      </c>
      <c r="G75" t="s">
        <v>3462</v>
      </c>
    </row>
    <row r="76" spans="1:7" ht="11.25" customHeight="1">
      <c r="A76" t="s">
        <v>16</v>
      </c>
      <c r="B76" t="s">
        <v>3460</v>
      </c>
      <c r="C76" t="s">
        <v>3461</v>
      </c>
      <c r="D76" t="s">
        <v>3463</v>
      </c>
      <c r="E76" t="s">
        <v>3464</v>
      </c>
      <c r="F76" t="s">
        <v>3308</v>
      </c>
      <c r="G76" t="s">
        <v>3465</v>
      </c>
    </row>
    <row r="77" spans="1:7" ht="11.25" customHeight="1">
      <c r="A77" t="s">
        <v>16</v>
      </c>
      <c r="B77" t="s">
        <v>3460</v>
      </c>
      <c r="C77" t="s">
        <v>3461</v>
      </c>
      <c r="D77" t="s">
        <v>3466</v>
      </c>
      <c r="E77" t="s">
        <v>3467</v>
      </c>
      <c r="F77" t="s">
        <v>3308</v>
      </c>
      <c r="G77" t="s">
        <v>3468</v>
      </c>
    </row>
    <row r="78" spans="1:7" ht="11.25" customHeight="1">
      <c r="A78" t="s">
        <v>16</v>
      </c>
      <c r="B78" t="s">
        <v>3460</v>
      </c>
      <c r="C78" t="s">
        <v>3461</v>
      </c>
      <c r="D78" t="s">
        <v>3469</v>
      </c>
      <c r="E78" t="s">
        <v>3470</v>
      </c>
      <c r="F78" t="s">
        <v>3308</v>
      </c>
      <c r="G78" t="s">
        <v>3471</v>
      </c>
    </row>
    <row r="79" spans="1:7" ht="11.25" customHeight="1">
      <c r="A79" t="s">
        <v>16</v>
      </c>
      <c r="B79" t="s">
        <v>3460</v>
      </c>
      <c r="C79" t="s">
        <v>3461</v>
      </c>
      <c r="D79" t="s">
        <v>3472</v>
      </c>
      <c r="E79" t="s">
        <v>3473</v>
      </c>
      <c r="F79" t="s">
        <v>3308</v>
      </c>
      <c r="G79" t="s">
        <v>3474</v>
      </c>
    </row>
    <row r="80" spans="1:7" ht="11.25" customHeight="1">
      <c r="A80" t="s">
        <v>16</v>
      </c>
      <c r="B80" t="s">
        <v>3460</v>
      </c>
      <c r="C80" t="s">
        <v>3461</v>
      </c>
      <c r="D80" t="s">
        <v>3475</v>
      </c>
      <c r="E80" t="s">
        <v>3476</v>
      </c>
      <c r="F80" t="s">
        <v>3308</v>
      </c>
      <c r="G80" t="s">
        <v>3477</v>
      </c>
    </row>
    <row r="81" spans="1:7" ht="11.25" customHeight="1">
      <c r="A81" t="s">
        <v>16</v>
      </c>
      <c r="B81" t="s">
        <v>3460</v>
      </c>
      <c r="C81" t="s">
        <v>3461</v>
      </c>
      <c r="D81" t="s">
        <v>3478</v>
      </c>
      <c r="E81" t="s">
        <v>3479</v>
      </c>
      <c r="F81" t="s">
        <v>3308</v>
      </c>
      <c r="G81" t="s">
        <v>3480</v>
      </c>
    </row>
    <row r="82" spans="1:7" ht="11.25" customHeight="1">
      <c r="A82" t="s">
        <v>16</v>
      </c>
      <c r="B82" t="s">
        <v>3460</v>
      </c>
      <c r="C82" t="s">
        <v>3461</v>
      </c>
      <c r="D82" t="s">
        <v>3481</v>
      </c>
      <c r="E82" t="s">
        <v>3482</v>
      </c>
      <c r="F82" t="s">
        <v>3308</v>
      </c>
      <c r="G82" t="s">
        <v>3483</v>
      </c>
    </row>
    <row r="83" spans="1:7" ht="11.25" customHeight="1">
      <c r="A83" t="s">
        <v>16</v>
      </c>
      <c r="B83" t="s">
        <v>3484</v>
      </c>
      <c r="C83" t="s">
        <v>3485</v>
      </c>
      <c r="D83" t="s">
        <v>3484</v>
      </c>
      <c r="E83" t="s">
        <v>3485</v>
      </c>
      <c r="F83" t="s">
        <v>3486</v>
      </c>
      <c r="G83" t="s">
        <v>3487</v>
      </c>
    </row>
    <row r="84" spans="1:7" ht="11.25" customHeight="1">
      <c r="A84" t="s">
        <v>16</v>
      </c>
      <c r="B84" t="s">
        <v>105</v>
      </c>
      <c r="C84" t="s">
        <v>106</v>
      </c>
      <c r="D84" t="s">
        <v>105</v>
      </c>
      <c r="E84" t="s">
        <v>106</v>
      </c>
      <c r="F84" t="s">
        <v>3486</v>
      </c>
      <c r="G84" t="s">
        <v>104</v>
      </c>
    </row>
    <row r="85" spans="1:7" ht="11.25" customHeight="1">
      <c r="A85" t="s">
        <v>16</v>
      </c>
      <c r="B85" t="s">
        <v>141</v>
      </c>
      <c r="C85" t="s">
        <v>142</v>
      </c>
      <c r="D85" t="s">
        <v>141</v>
      </c>
      <c r="E85" t="s">
        <v>142</v>
      </c>
      <c r="F85" t="s">
        <v>3486</v>
      </c>
      <c r="G85" t="s">
        <v>140</v>
      </c>
    </row>
    <row r="86" spans="1:7" ht="11.25" customHeight="1">
      <c r="A86" t="s">
        <v>16</v>
      </c>
      <c r="B86" t="s">
        <v>3488</v>
      </c>
      <c r="C86" t="s">
        <v>3489</v>
      </c>
      <c r="D86" t="s">
        <v>3488</v>
      </c>
      <c r="E86" t="s">
        <v>3489</v>
      </c>
      <c r="F86" t="s">
        <v>3486</v>
      </c>
      <c r="G86" t="s">
        <v>3490</v>
      </c>
    </row>
    <row r="87" spans="1:7" ht="11.25" customHeight="1">
      <c r="A87" t="s">
        <v>16</v>
      </c>
      <c r="B87" t="s">
        <v>3491</v>
      </c>
      <c r="C87" t="s">
        <v>3492</v>
      </c>
      <c r="D87" t="s">
        <v>3491</v>
      </c>
      <c r="E87" t="s">
        <v>3492</v>
      </c>
      <c r="F87" t="s">
        <v>3486</v>
      </c>
      <c r="G87" t="s">
        <v>3493</v>
      </c>
    </row>
    <row r="88" spans="1:7" ht="11.25" customHeight="1">
      <c r="A88" t="s">
        <v>16</v>
      </c>
      <c r="B88" t="s">
        <v>3494</v>
      </c>
      <c r="C88" t="s">
        <v>3495</v>
      </c>
      <c r="D88" t="s">
        <v>3494</v>
      </c>
      <c r="E88" t="s">
        <v>3495</v>
      </c>
      <c r="F88" t="s">
        <v>3486</v>
      </c>
      <c r="G88" t="s">
        <v>3496</v>
      </c>
    </row>
    <row r="89" spans="1:7" ht="11.25" customHeight="1">
      <c r="A89" t="s">
        <v>16</v>
      </c>
      <c r="B89" t="s">
        <v>113</v>
      </c>
      <c r="C89" t="s">
        <v>114</v>
      </c>
      <c r="D89" t="s">
        <v>113</v>
      </c>
      <c r="E89" t="s">
        <v>114</v>
      </c>
      <c r="F89" t="s">
        <v>3486</v>
      </c>
      <c r="G89" t="s">
        <v>112</v>
      </c>
    </row>
    <row r="90" spans="1:7" ht="11.25" customHeight="1">
      <c r="A90" t="s">
        <v>16</v>
      </c>
      <c r="B90" t="s">
        <v>3497</v>
      </c>
      <c r="C90" t="s">
        <v>3498</v>
      </c>
      <c r="D90" t="s">
        <v>3497</v>
      </c>
      <c r="E90" t="s">
        <v>3498</v>
      </c>
      <c r="F90" t="s">
        <v>3486</v>
      </c>
      <c r="G90" t="s">
        <v>3499</v>
      </c>
    </row>
    <row r="91" spans="1:7" ht="11.25" customHeight="1">
      <c r="A91" t="s">
        <v>16</v>
      </c>
      <c r="B91" t="s">
        <v>3500</v>
      </c>
      <c r="C91" t="s">
        <v>3501</v>
      </c>
      <c r="D91" t="s">
        <v>3500</v>
      </c>
      <c r="E91" t="s">
        <v>3501</v>
      </c>
      <c r="F91" t="s">
        <v>3486</v>
      </c>
      <c r="G91" t="s">
        <v>3502</v>
      </c>
    </row>
    <row r="92" spans="1:7" ht="11.25" customHeight="1">
      <c r="A92" t="s">
        <v>16</v>
      </c>
      <c r="B92" t="s">
        <v>100</v>
      </c>
      <c r="C92" t="s">
        <v>101</v>
      </c>
      <c r="D92" t="s">
        <v>100</v>
      </c>
      <c r="E92" t="s">
        <v>101</v>
      </c>
      <c r="F92" t="s">
        <v>3486</v>
      </c>
      <c r="G92" t="s">
        <v>99</v>
      </c>
    </row>
    <row r="93" spans="1:7" ht="11.25" customHeight="1">
      <c r="A93" t="s">
        <v>16</v>
      </c>
      <c r="B93" t="s">
        <v>108</v>
      </c>
      <c r="C93" t="s">
        <v>109</v>
      </c>
      <c r="D93" t="s">
        <v>108</v>
      </c>
      <c r="E93" t="s">
        <v>109</v>
      </c>
      <c r="F93" t="s">
        <v>3486</v>
      </c>
      <c r="G93" t="s">
        <v>107</v>
      </c>
    </row>
    <row r="94" spans="1:7" ht="11.25" customHeight="1">
      <c r="A94" t="s">
        <v>16</v>
      </c>
      <c r="B94" t="s">
        <v>3503</v>
      </c>
      <c r="C94" t="s">
        <v>3504</v>
      </c>
      <c r="D94" t="s">
        <v>3503</v>
      </c>
      <c r="E94" t="s">
        <v>3504</v>
      </c>
      <c r="F94" t="s">
        <v>3486</v>
      </c>
      <c r="G94" t="s">
        <v>3505</v>
      </c>
    </row>
    <row r="95" spans="1:7" ht="11.25" customHeight="1">
      <c r="A95" t="s">
        <v>16</v>
      </c>
      <c r="B95" t="s">
        <v>160</v>
      </c>
      <c r="C95" t="s">
        <v>3506</v>
      </c>
      <c r="D95" t="s">
        <v>3507</v>
      </c>
      <c r="E95" t="s">
        <v>3508</v>
      </c>
      <c r="F95" t="s">
        <v>3308</v>
      </c>
      <c r="G95" t="s">
        <v>3509</v>
      </c>
    </row>
    <row r="96" spans="1:7" ht="11.25" customHeight="1">
      <c r="A96" t="s">
        <v>16</v>
      </c>
      <c r="B96" t="s">
        <v>160</v>
      </c>
      <c r="C96" t="s">
        <v>3506</v>
      </c>
      <c r="D96" t="s">
        <v>3510</v>
      </c>
      <c r="E96" t="s">
        <v>3511</v>
      </c>
      <c r="F96" t="s">
        <v>3308</v>
      </c>
      <c r="G96" t="s">
        <v>3512</v>
      </c>
    </row>
    <row r="97" spans="1:7" ht="11.25" customHeight="1">
      <c r="A97" t="s">
        <v>16</v>
      </c>
      <c r="B97" t="s">
        <v>160</v>
      </c>
      <c r="C97" t="s">
        <v>3506</v>
      </c>
      <c r="D97" t="s">
        <v>3513</v>
      </c>
      <c r="E97" t="s">
        <v>3514</v>
      </c>
      <c r="F97" t="s">
        <v>3308</v>
      </c>
      <c r="G97" t="s">
        <v>3515</v>
      </c>
    </row>
    <row r="98" spans="1:7" ht="11.25" customHeight="1">
      <c r="A98" t="s">
        <v>16</v>
      </c>
      <c r="B98" t="s">
        <v>160</v>
      </c>
      <c r="C98" t="s">
        <v>3506</v>
      </c>
      <c r="D98" t="s">
        <v>3451</v>
      </c>
      <c r="E98" t="s">
        <v>3516</v>
      </c>
      <c r="F98" t="s">
        <v>3308</v>
      </c>
      <c r="G98" t="s">
        <v>3517</v>
      </c>
    </row>
    <row r="99" spans="1:7" ht="11.25" customHeight="1">
      <c r="A99" t="s">
        <v>16</v>
      </c>
      <c r="B99" t="s">
        <v>160</v>
      </c>
      <c r="C99" t="s">
        <v>3506</v>
      </c>
      <c r="D99" t="s">
        <v>3518</v>
      </c>
      <c r="E99" t="s">
        <v>3519</v>
      </c>
      <c r="F99" t="s">
        <v>3308</v>
      </c>
      <c r="G99" t="s">
        <v>3520</v>
      </c>
    </row>
    <row r="100" spans="1:7" ht="11.25" customHeight="1">
      <c r="A100" t="s">
        <v>16</v>
      </c>
      <c r="B100" t="s">
        <v>160</v>
      </c>
      <c r="C100" t="s">
        <v>3506</v>
      </c>
      <c r="D100" t="s">
        <v>160</v>
      </c>
      <c r="E100" t="s">
        <v>3506</v>
      </c>
      <c r="F100" t="s">
        <v>3305</v>
      </c>
      <c r="G100" t="s">
        <v>3521</v>
      </c>
    </row>
    <row r="101" spans="1:7" ht="11.25" customHeight="1">
      <c r="A101" t="s">
        <v>16</v>
      </c>
      <c r="B101" t="s">
        <v>160</v>
      </c>
      <c r="C101" t="s">
        <v>3506</v>
      </c>
      <c r="D101" t="s">
        <v>3522</v>
      </c>
      <c r="E101" t="s">
        <v>3523</v>
      </c>
      <c r="F101" t="s">
        <v>3308</v>
      </c>
      <c r="G101" t="s">
        <v>3524</v>
      </c>
    </row>
    <row r="102" spans="1:7" ht="11.25" customHeight="1">
      <c r="A102" t="s">
        <v>16</v>
      </c>
      <c r="B102" t="s">
        <v>160</v>
      </c>
      <c r="C102" t="s">
        <v>3506</v>
      </c>
      <c r="D102" t="s">
        <v>3525</v>
      </c>
      <c r="E102" t="s">
        <v>3526</v>
      </c>
      <c r="F102" t="s">
        <v>3308</v>
      </c>
      <c r="G102" t="s">
        <v>3527</v>
      </c>
    </row>
    <row r="103" spans="1:7" ht="11.25" customHeight="1">
      <c r="A103" t="s">
        <v>16</v>
      </c>
      <c r="B103" t="s">
        <v>160</v>
      </c>
      <c r="C103" t="s">
        <v>3506</v>
      </c>
      <c r="D103" t="s">
        <v>3528</v>
      </c>
      <c r="E103" t="s">
        <v>3529</v>
      </c>
      <c r="F103" t="s">
        <v>3308</v>
      </c>
      <c r="G103" t="s">
        <v>3530</v>
      </c>
    </row>
    <row r="104" spans="1:7" ht="11.25" customHeight="1">
      <c r="A104" t="s">
        <v>16</v>
      </c>
      <c r="B104" t="s">
        <v>160</v>
      </c>
      <c r="C104" t="s">
        <v>3506</v>
      </c>
      <c r="D104" t="s">
        <v>3531</v>
      </c>
      <c r="E104" t="s">
        <v>3532</v>
      </c>
      <c r="F104" t="s">
        <v>3308</v>
      </c>
      <c r="G104" t="s">
        <v>3533</v>
      </c>
    </row>
    <row r="105" spans="1:7" ht="11.25" customHeight="1">
      <c r="A105" t="s">
        <v>16</v>
      </c>
      <c r="B105" t="s">
        <v>160</v>
      </c>
      <c r="C105" t="s">
        <v>3506</v>
      </c>
      <c r="D105" t="s">
        <v>3534</v>
      </c>
      <c r="E105" t="s">
        <v>3535</v>
      </c>
      <c r="F105" t="s">
        <v>3308</v>
      </c>
      <c r="G105" t="s">
        <v>3536</v>
      </c>
    </row>
    <row r="106" spans="1:7" ht="11.25" customHeight="1">
      <c r="A106" t="s">
        <v>16</v>
      </c>
      <c r="B106" t="s">
        <v>160</v>
      </c>
      <c r="C106" t="s">
        <v>3506</v>
      </c>
      <c r="D106" t="s">
        <v>3478</v>
      </c>
      <c r="E106" t="s">
        <v>3537</v>
      </c>
      <c r="F106" t="s">
        <v>3308</v>
      </c>
      <c r="G106" t="s">
        <v>3538</v>
      </c>
    </row>
    <row r="107" spans="1:7" ht="11.25" customHeight="1">
      <c r="A107" t="s">
        <v>16</v>
      </c>
      <c r="B107" t="s">
        <v>160</v>
      </c>
      <c r="C107" t="s">
        <v>3506</v>
      </c>
      <c r="D107" t="s">
        <v>168</v>
      </c>
      <c r="E107" t="s">
        <v>169</v>
      </c>
      <c r="F107" t="s">
        <v>3308</v>
      </c>
      <c r="G107" t="s">
        <v>167</v>
      </c>
    </row>
    <row r="108" spans="1:7" ht="11.25" customHeight="1">
      <c r="A108" t="s">
        <v>16</v>
      </c>
      <c r="B108" t="s">
        <v>148</v>
      </c>
      <c r="C108" t="s">
        <v>3539</v>
      </c>
      <c r="D108" t="s">
        <v>3540</v>
      </c>
      <c r="E108" t="s">
        <v>3541</v>
      </c>
      <c r="F108" t="s">
        <v>3308</v>
      </c>
      <c r="G108" t="s">
        <v>3542</v>
      </c>
    </row>
    <row r="109" spans="1:7" ht="11.25" customHeight="1">
      <c r="A109" t="s">
        <v>16</v>
      </c>
      <c r="B109" t="s">
        <v>148</v>
      </c>
      <c r="C109" t="s">
        <v>3539</v>
      </c>
      <c r="D109" t="s">
        <v>3543</v>
      </c>
      <c r="E109" t="s">
        <v>3544</v>
      </c>
      <c r="F109" t="s">
        <v>3308</v>
      </c>
      <c r="G109" t="s">
        <v>3545</v>
      </c>
    </row>
    <row r="110" spans="1:7" ht="11.25" customHeight="1">
      <c r="A110" t="s">
        <v>16</v>
      </c>
      <c r="B110" t="s">
        <v>148</v>
      </c>
      <c r="C110" t="s">
        <v>3539</v>
      </c>
      <c r="D110" t="s">
        <v>148</v>
      </c>
      <c r="E110" t="s">
        <v>3539</v>
      </c>
      <c r="F110" t="s">
        <v>3305</v>
      </c>
      <c r="G110" t="s">
        <v>3546</v>
      </c>
    </row>
    <row r="111" spans="1:7" ht="11.25" customHeight="1">
      <c r="A111" t="s">
        <v>16</v>
      </c>
      <c r="B111" t="s">
        <v>148</v>
      </c>
      <c r="C111" t="s">
        <v>3539</v>
      </c>
      <c r="D111" t="s">
        <v>149</v>
      </c>
      <c r="E111" t="s">
        <v>150</v>
      </c>
      <c r="F111" t="s">
        <v>3308</v>
      </c>
      <c r="G111" t="s">
        <v>147</v>
      </c>
    </row>
    <row r="112" spans="1:7" ht="11.25" customHeight="1">
      <c r="A112" t="s">
        <v>16</v>
      </c>
      <c r="B112" t="s">
        <v>148</v>
      </c>
      <c r="C112" t="s">
        <v>3539</v>
      </c>
      <c r="D112" t="s">
        <v>3387</v>
      </c>
      <c r="E112" t="s">
        <v>3547</v>
      </c>
      <c r="F112" t="s">
        <v>3308</v>
      </c>
      <c r="G112" t="s">
        <v>3548</v>
      </c>
    </row>
    <row r="113" spans="1:7" ht="11.25" customHeight="1">
      <c r="A113" t="s">
        <v>16</v>
      </c>
      <c r="B113" t="s">
        <v>148</v>
      </c>
      <c r="C113" t="s">
        <v>3539</v>
      </c>
      <c r="D113" t="s">
        <v>3549</v>
      </c>
      <c r="E113" t="s">
        <v>3550</v>
      </c>
      <c r="F113" t="s">
        <v>3308</v>
      </c>
      <c r="G113" t="s">
        <v>3551</v>
      </c>
    </row>
    <row r="114" spans="1:7" ht="11.25" customHeight="1">
      <c r="A114" t="s">
        <v>16</v>
      </c>
      <c r="B114" t="s">
        <v>148</v>
      </c>
      <c r="C114" t="s">
        <v>3539</v>
      </c>
      <c r="D114" t="s">
        <v>3552</v>
      </c>
      <c r="E114" t="s">
        <v>3553</v>
      </c>
      <c r="F114" t="s">
        <v>3308</v>
      </c>
      <c r="G114" t="s">
        <v>3554</v>
      </c>
    </row>
    <row r="115" spans="1:7" ht="11.25" customHeight="1">
      <c r="A115" t="s">
        <v>16</v>
      </c>
      <c r="B115" t="s">
        <v>148</v>
      </c>
      <c r="C115" t="s">
        <v>3539</v>
      </c>
      <c r="D115" t="s">
        <v>3555</v>
      </c>
      <c r="E115" t="s">
        <v>3556</v>
      </c>
      <c r="F115" t="s">
        <v>3308</v>
      </c>
      <c r="G115" t="s">
        <v>3557</v>
      </c>
    </row>
    <row r="116" spans="1:7" ht="11.25" customHeight="1">
      <c r="A116" t="s">
        <v>16</v>
      </c>
      <c r="B116" t="s">
        <v>148</v>
      </c>
      <c r="C116" t="s">
        <v>3539</v>
      </c>
      <c r="D116" t="s">
        <v>3558</v>
      </c>
      <c r="E116" t="s">
        <v>3559</v>
      </c>
      <c r="F116" t="s">
        <v>3308</v>
      </c>
      <c r="G116" t="s">
        <v>3560</v>
      </c>
    </row>
    <row r="117" spans="1:7" ht="11.25" customHeight="1">
      <c r="A117" t="s">
        <v>16</v>
      </c>
      <c r="B117" t="s">
        <v>148</v>
      </c>
      <c r="C117" t="s">
        <v>3539</v>
      </c>
      <c r="D117" t="s">
        <v>3561</v>
      </c>
      <c r="E117" t="s">
        <v>3562</v>
      </c>
      <c r="F117" t="s">
        <v>3308</v>
      </c>
      <c r="G117" t="s">
        <v>3563</v>
      </c>
    </row>
    <row r="118" spans="1:7" ht="11.25" customHeight="1">
      <c r="A118" t="s">
        <v>16</v>
      </c>
      <c r="B118" t="s">
        <v>3564</v>
      </c>
      <c r="C118" t="s">
        <v>3565</v>
      </c>
      <c r="D118" t="s">
        <v>3564</v>
      </c>
      <c r="E118" t="s">
        <v>3565</v>
      </c>
      <c r="F118" t="s">
        <v>3305</v>
      </c>
      <c r="G118" t="s">
        <v>3566</v>
      </c>
    </row>
    <row r="119" spans="1:7" ht="11.25" customHeight="1">
      <c r="A119" t="s">
        <v>16</v>
      </c>
      <c r="B119" t="s">
        <v>3564</v>
      </c>
      <c r="C119" t="s">
        <v>3565</v>
      </c>
      <c r="D119" t="s">
        <v>3567</v>
      </c>
      <c r="E119" t="s">
        <v>3568</v>
      </c>
      <c r="F119" t="s">
        <v>3308</v>
      </c>
      <c r="G119" t="s">
        <v>3569</v>
      </c>
    </row>
    <row r="120" spans="1:7" ht="11.25" customHeight="1">
      <c r="A120" t="s">
        <v>16</v>
      </c>
      <c r="B120" t="s">
        <v>3564</v>
      </c>
      <c r="C120" t="s">
        <v>3565</v>
      </c>
      <c r="D120" t="s">
        <v>3570</v>
      </c>
      <c r="E120" t="s">
        <v>3571</v>
      </c>
      <c r="F120" t="s">
        <v>3308</v>
      </c>
      <c r="G120" t="s">
        <v>3572</v>
      </c>
    </row>
    <row r="121" spans="1:7" ht="11.25" customHeight="1">
      <c r="A121" t="s">
        <v>16</v>
      </c>
      <c r="B121" t="s">
        <v>3564</v>
      </c>
      <c r="C121" t="s">
        <v>3565</v>
      </c>
      <c r="D121" t="s">
        <v>3573</v>
      </c>
      <c r="E121" t="s">
        <v>3574</v>
      </c>
      <c r="F121" t="s">
        <v>3308</v>
      </c>
      <c r="G121" t="s">
        <v>3575</v>
      </c>
    </row>
    <row r="122" spans="1:7" ht="11.25" customHeight="1">
      <c r="A122" t="s">
        <v>16</v>
      </c>
      <c r="B122" t="s">
        <v>3564</v>
      </c>
      <c r="C122" t="s">
        <v>3565</v>
      </c>
      <c r="D122" t="s">
        <v>3576</v>
      </c>
      <c r="E122" t="s">
        <v>3577</v>
      </c>
      <c r="F122" t="s">
        <v>3308</v>
      </c>
      <c r="G122" t="s">
        <v>3578</v>
      </c>
    </row>
    <row r="123" spans="1:7" ht="11.25" customHeight="1">
      <c r="A123" t="s">
        <v>16</v>
      </c>
      <c r="B123" t="s">
        <v>3564</v>
      </c>
      <c r="C123" t="s">
        <v>3565</v>
      </c>
      <c r="D123" t="s">
        <v>3579</v>
      </c>
      <c r="E123" t="s">
        <v>3580</v>
      </c>
      <c r="F123" t="s">
        <v>3308</v>
      </c>
      <c r="G123" t="s">
        <v>3581</v>
      </c>
    </row>
    <row r="124" spans="1:7" ht="11.25" customHeight="1">
      <c r="A124" t="s">
        <v>16</v>
      </c>
      <c r="B124" t="s">
        <v>3564</v>
      </c>
      <c r="C124" t="s">
        <v>3565</v>
      </c>
      <c r="D124" t="s">
        <v>3582</v>
      </c>
      <c r="E124" t="s">
        <v>3583</v>
      </c>
      <c r="F124" t="s">
        <v>3308</v>
      </c>
      <c r="G124" t="s">
        <v>3584</v>
      </c>
    </row>
    <row r="125" spans="1:7" ht="11.25" customHeight="1">
      <c r="A125" t="s">
        <v>16</v>
      </c>
      <c r="B125" t="s">
        <v>3564</v>
      </c>
      <c r="C125" t="s">
        <v>3565</v>
      </c>
      <c r="D125" t="s">
        <v>3585</v>
      </c>
      <c r="E125" t="s">
        <v>3586</v>
      </c>
      <c r="F125" t="s">
        <v>3308</v>
      </c>
      <c r="G125" t="s">
        <v>3587</v>
      </c>
    </row>
    <row r="126" spans="1:7" ht="11.25" customHeight="1">
      <c r="A126" t="s">
        <v>16</v>
      </c>
      <c r="B126" t="s">
        <v>3564</v>
      </c>
      <c r="C126" t="s">
        <v>3565</v>
      </c>
      <c r="D126" t="s">
        <v>3588</v>
      </c>
      <c r="E126" t="s">
        <v>3589</v>
      </c>
      <c r="F126" t="s">
        <v>3308</v>
      </c>
      <c r="G126" t="s">
        <v>3590</v>
      </c>
    </row>
    <row r="127" spans="1:7" ht="11.25" customHeight="1">
      <c r="A127" t="s">
        <v>16</v>
      </c>
      <c r="B127" t="s">
        <v>3564</v>
      </c>
      <c r="C127" t="s">
        <v>3565</v>
      </c>
      <c r="D127" t="s">
        <v>3591</v>
      </c>
      <c r="E127" t="s">
        <v>3592</v>
      </c>
      <c r="F127" t="s">
        <v>3308</v>
      </c>
      <c r="G127" t="s">
        <v>3593</v>
      </c>
    </row>
    <row r="128" spans="1:7" ht="11.25" customHeight="1">
      <c r="A128" t="s">
        <v>16</v>
      </c>
      <c r="B128" t="s">
        <v>3594</v>
      </c>
      <c r="C128" t="s">
        <v>3595</v>
      </c>
      <c r="D128" t="s">
        <v>3596</v>
      </c>
      <c r="E128" t="s">
        <v>3597</v>
      </c>
      <c r="F128" t="s">
        <v>3308</v>
      </c>
      <c r="G128" t="s">
        <v>3598</v>
      </c>
    </row>
    <row r="129" spans="1:7" ht="11.25" customHeight="1">
      <c r="A129" t="s">
        <v>16</v>
      </c>
      <c r="B129" t="s">
        <v>3594</v>
      </c>
      <c r="C129" t="s">
        <v>3595</v>
      </c>
      <c r="D129" t="s">
        <v>3599</v>
      </c>
      <c r="E129" t="s">
        <v>3600</v>
      </c>
      <c r="F129" t="s">
        <v>3308</v>
      </c>
      <c r="G129" t="s">
        <v>3601</v>
      </c>
    </row>
    <row r="130" spans="1:7" ht="11.25" customHeight="1">
      <c r="A130" t="s">
        <v>16</v>
      </c>
      <c r="B130" t="s">
        <v>3594</v>
      </c>
      <c r="C130" t="s">
        <v>3595</v>
      </c>
      <c r="D130" t="s">
        <v>3602</v>
      </c>
      <c r="E130" t="s">
        <v>3603</v>
      </c>
      <c r="F130" t="s">
        <v>3308</v>
      </c>
      <c r="G130" t="s">
        <v>3604</v>
      </c>
    </row>
    <row r="131" spans="1:7" ht="11.25" customHeight="1">
      <c r="A131" t="s">
        <v>16</v>
      </c>
      <c r="B131" t="s">
        <v>3594</v>
      </c>
      <c r="C131" t="s">
        <v>3595</v>
      </c>
      <c r="D131" t="s">
        <v>3594</v>
      </c>
      <c r="E131" t="s">
        <v>3595</v>
      </c>
      <c r="F131" t="s">
        <v>3305</v>
      </c>
      <c r="G131" t="s">
        <v>3605</v>
      </c>
    </row>
    <row r="132" spans="1:7" ht="11.25" customHeight="1">
      <c r="A132" t="s">
        <v>16</v>
      </c>
      <c r="B132" t="s">
        <v>3594</v>
      </c>
      <c r="C132" t="s">
        <v>3595</v>
      </c>
      <c r="D132" t="s">
        <v>3606</v>
      </c>
      <c r="E132" t="s">
        <v>3607</v>
      </c>
      <c r="F132" t="s">
        <v>3345</v>
      </c>
      <c r="G132" t="s">
        <v>3608</v>
      </c>
    </row>
    <row r="133" spans="1:7" ht="11.25" customHeight="1">
      <c r="A133" t="s">
        <v>16</v>
      </c>
      <c r="B133" t="s">
        <v>3594</v>
      </c>
      <c r="C133" t="s">
        <v>3595</v>
      </c>
      <c r="D133" t="s">
        <v>3609</v>
      </c>
      <c r="E133" t="s">
        <v>3610</v>
      </c>
      <c r="F133" t="s">
        <v>3308</v>
      </c>
      <c r="G133" t="s">
        <v>3611</v>
      </c>
    </row>
    <row r="134" spans="1:7" ht="11.25" customHeight="1">
      <c r="A134" t="s">
        <v>16</v>
      </c>
      <c r="B134" t="s">
        <v>3594</v>
      </c>
      <c r="C134" t="s">
        <v>3595</v>
      </c>
      <c r="D134" t="s">
        <v>3612</v>
      </c>
      <c r="E134" t="s">
        <v>3613</v>
      </c>
      <c r="F134" t="s">
        <v>3308</v>
      </c>
      <c r="G134" t="s">
        <v>3614</v>
      </c>
    </row>
    <row r="135" spans="1:7" ht="11.25" customHeight="1">
      <c r="A135" t="s">
        <v>16</v>
      </c>
      <c r="B135" t="s">
        <v>3594</v>
      </c>
      <c r="C135" t="s">
        <v>3595</v>
      </c>
      <c r="D135" t="s">
        <v>3376</v>
      </c>
      <c r="E135" t="s">
        <v>3615</v>
      </c>
      <c r="F135" t="s">
        <v>3308</v>
      </c>
      <c r="G135" t="s">
        <v>3616</v>
      </c>
    </row>
    <row r="136" spans="1:7" ht="11.25" customHeight="1">
      <c r="A136" t="s">
        <v>16</v>
      </c>
      <c r="B136" t="s">
        <v>3594</v>
      </c>
      <c r="C136" t="s">
        <v>3595</v>
      </c>
      <c r="D136" t="s">
        <v>3617</v>
      </c>
      <c r="E136" t="s">
        <v>3618</v>
      </c>
      <c r="F136" t="s">
        <v>3308</v>
      </c>
      <c r="G136" t="s">
        <v>3619</v>
      </c>
    </row>
    <row r="137" spans="1:7" ht="11.25" customHeight="1">
      <c r="A137" t="s">
        <v>16</v>
      </c>
      <c r="B137" t="s">
        <v>3594</v>
      </c>
      <c r="C137" t="s">
        <v>3595</v>
      </c>
      <c r="D137" t="s">
        <v>3620</v>
      </c>
      <c r="E137" t="s">
        <v>3621</v>
      </c>
      <c r="F137" t="s">
        <v>3308</v>
      </c>
      <c r="G137" t="s">
        <v>3622</v>
      </c>
    </row>
    <row r="138" spans="1:7" ht="11.25" customHeight="1">
      <c r="A138" t="s">
        <v>16</v>
      </c>
      <c r="B138" t="s">
        <v>144</v>
      </c>
      <c r="C138" t="s">
        <v>3623</v>
      </c>
      <c r="D138" t="s">
        <v>3624</v>
      </c>
      <c r="E138" t="s">
        <v>3625</v>
      </c>
      <c r="F138" t="s">
        <v>3308</v>
      </c>
      <c r="G138" t="s">
        <v>3626</v>
      </c>
    </row>
    <row r="139" spans="1:7" ht="11.25" customHeight="1">
      <c r="A139" t="s">
        <v>16</v>
      </c>
      <c r="B139" t="s">
        <v>144</v>
      </c>
      <c r="C139" t="s">
        <v>3623</v>
      </c>
      <c r="D139" t="s">
        <v>3627</v>
      </c>
      <c r="E139" t="s">
        <v>3628</v>
      </c>
      <c r="F139" t="s">
        <v>3308</v>
      </c>
      <c r="G139" t="s">
        <v>3629</v>
      </c>
    </row>
    <row r="140" spans="1:7" ht="11.25" customHeight="1">
      <c r="A140" t="s">
        <v>16</v>
      </c>
      <c r="B140" t="s">
        <v>144</v>
      </c>
      <c r="C140" t="s">
        <v>3623</v>
      </c>
      <c r="D140" t="s">
        <v>3630</v>
      </c>
      <c r="E140" t="s">
        <v>3631</v>
      </c>
      <c r="F140" t="s">
        <v>3308</v>
      </c>
      <c r="G140" t="s">
        <v>3632</v>
      </c>
    </row>
    <row r="141" spans="1:7" ht="11.25" customHeight="1">
      <c r="A141" t="s">
        <v>16</v>
      </c>
      <c r="B141" t="s">
        <v>144</v>
      </c>
      <c r="C141" t="s">
        <v>3623</v>
      </c>
      <c r="D141" t="s">
        <v>144</v>
      </c>
      <c r="E141" t="s">
        <v>3623</v>
      </c>
      <c r="F141" t="s">
        <v>3305</v>
      </c>
      <c r="G141" t="s">
        <v>3633</v>
      </c>
    </row>
    <row r="142" spans="1:7" ht="11.25" customHeight="1">
      <c r="A142" t="s">
        <v>16</v>
      </c>
      <c r="B142" t="s">
        <v>144</v>
      </c>
      <c r="C142" t="s">
        <v>3623</v>
      </c>
      <c r="D142" t="s">
        <v>145</v>
      </c>
      <c r="E142" t="s">
        <v>146</v>
      </c>
      <c r="F142" t="s">
        <v>3308</v>
      </c>
      <c r="G142" t="s">
        <v>143</v>
      </c>
    </row>
    <row r="143" spans="1:7" ht="11.25" customHeight="1">
      <c r="A143" t="s">
        <v>16</v>
      </c>
      <c r="B143" t="s">
        <v>144</v>
      </c>
      <c r="C143" t="s">
        <v>3623</v>
      </c>
      <c r="D143" t="s">
        <v>3634</v>
      </c>
      <c r="E143" t="s">
        <v>3635</v>
      </c>
      <c r="F143" t="s">
        <v>3308</v>
      </c>
      <c r="G143" t="s">
        <v>3636</v>
      </c>
    </row>
    <row r="144" spans="1:7" ht="11.25" customHeight="1">
      <c r="A144" t="s">
        <v>16</v>
      </c>
      <c r="B144" t="s">
        <v>144</v>
      </c>
      <c r="C144" t="s">
        <v>3623</v>
      </c>
      <c r="D144" t="s">
        <v>3637</v>
      </c>
      <c r="E144" t="s">
        <v>3638</v>
      </c>
      <c r="F144" t="s">
        <v>3308</v>
      </c>
      <c r="G144" t="s">
        <v>3639</v>
      </c>
    </row>
    <row r="145" spans="1:7" ht="11.25" customHeight="1">
      <c r="A145" t="s">
        <v>16</v>
      </c>
      <c r="B145" t="s">
        <v>144</v>
      </c>
      <c r="C145" t="s">
        <v>3623</v>
      </c>
      <c r="D145" t="s">
        <v>3640</v>
      </c>
      <c r="E145" t="s">
        <v>3641</v>
      </c>
      <c r="F145" t="s">
        <v>3308</v>
      </c>
      <c r="G145" t="s">
        <v>3642</v>
      </c>
    </row>
    <row r="146" spans="1:7" ht="11.25" customHeight="1">
      <c r="A146" t="s">
        <v>16</v>
      </c>
      <c r="B146" t="s">
        <v>144</v>
      </c>
      <c r="C146" t="s">
        <v>3623</v>
      </c>
      <c r="D146" t="s">
        <v>3354</v>
      </c>
      <c r="E146" t="s">
        <v>3643</v>
      </c>
      <c r="F146" t="s">
        <v>3308</v>
      </c>
      <c r="G146" t="s">
        <v>3644</v>
      </c>
    </row>
    <row r="147" spans="1:7" ht="11.25" customHeight="1">
      <c r="A147" t="s">
        <v>16</v>
      </c>
      <c r="B147" t="s">
        <v>144</v>
      </c>
      <c r="C147" t="s">
        <v>3623</v>
      </c>
      <c r="D147" t="s">
        <v>3645</v>
      </c>
      <c r="E147" t="s">
        <v>3646</v>
      </c>
      <c r="F147" t="s">
        <v>3308</v>
      </c>
      <c r="G147" t="s">
        <v>3647</v>
      </c>
    </row>
    <row r="148" spans="1:7" ht="11.25" customHeight="1">
      <c r="A148" t="s">
        <v>16</v>
      </c>
      <c r="B148" t="s">
        <v>144</v>
      </c>
      <c r="C148" t="s">
        <v>3623</v>
      </c>
      <c r="D148" t="s">
        <v>3648</v>
      </c>
      <c r="E148" t="s">
        <v>3649</v>
      </c>
      <c r="F148" t="s">
        <v>3308</v>
      </c>
      <c r="G148" t="s">
        <v>3650</v>
      </c>
    </row>
    <row r="149" spans="1:7" ht="11.25" customHeight="1">
      <c r="A149" t="s">
        <v>16</v>
      </c>
      <c r="B149" t="s">
        <v>144</v>
      </c>
      <c r="C149" t="s">
        <v>3623</v>
      </c>
      <c r="D149" t="s">
        <v>3651</v>
      </c>
      <c r="E149" t="s">
        <v>3652</v>
      </c>
      <c r="F149" t="s">
        <v>3308</v>
      </c>
      <c r="G149" t="s">
        <v>3653</v>
      </c>
    </row>
    <row r="150" spans="1:7" ht="11.25" customHeight="1">
      <c r="A150" t="s">
        <v>16</v>
      </c>
      <c r="B150" t="s">
        <v>3654</v>
      </c>
      <c r="C150" t="s">
        <v>3655</v>
      </c>
      <c r="D150" t="s">
        <v>3656</v>
      </c>
      <c r="E150" t="s">
        <v>3657</v>
      </c>
      <c r="F150" t="s">
        <v>3308</v>
      </c>
      <c r="G150" t="s">
        <v>3658</v>
      </c>
    </row>
    <row r="151" spans="1:7" ht="11.25" customHeight="1">
      <c r="A151" t="s">
        <v>16</v>
      </c>
      <c r="B151" t="s">
        <v>3654</v>
      </c>
      <c r="C151" t="s">
        <v>3655</v>
      </c>
      <c r="D151" t="s">
        <v>3654</v>
      </c>
      <c r="E151" t="s">
        <v>3655</v>
      </c>
      <c r="F151" t="s">
        <v>3305</v>
      </c>
      <c r="G151" t="s">
        <v>3659</v>
      </c>
    </row>
    <row r="152" spans="1:7" ht="11.25" customHeight="1">
      <c r="A152" t="s">
        <v>16</v>
      </c>
      <c r="B152" t="s">
        <v>3654</v>
      </c>
      <c r="C152" t="s">
        <v>3655</v>
      </c>
      <c r="D152" t="s">
        <v>153</v>
      </c>
      <c r="E152" t="s">
        <v>3660</v>
      </c>
      <c r="F152" t="s">
        <v>3308</v>
      </c>
      <c r="G152" t="s">
        <v>3661</v>
      </c>
    </row>
    <row r="153" spans="1:7" ht="11.25" customHeight="1">
      <c r="A153" t="s">
        <v>16</v>
      </c>
      <c r="B153" t="s">
        <v>3654</v>
      </c>
      <c r="C153" t="s">
        <v>3655</v>
      </c>
      <c r="D153" t="s">
        <v>3662</v>
      </c>
      <c r="E153" t="s">
        <v>3663</v>
      </c>
      <c r="F153" t="s">
        <v>3308</v>
      </c>
      <c r="G153" t="s">
        <v>3664</v>
      </c>
    </row>
    <row r="154" spans="1:7" ht="11.25" customHeight="1">
      <c r="A154" t="s">
        <v>16</v>
      </c>
      <c r="B154" t="s">
        <v>3654</v>
      </c>
      <c r="C154" t="s">
        <v>3655</v>
      </c>
      <c r="D154" t="s">
        <v>3637</v>
      </c>
      <c r="E154" t="s">
        <v>3665</v>
      </c>
      <c r="F154" t="s">
        <v>3308</v>
      </c>
      <c r="G154" t="s">
        <v>3666</v>
      </c>
    </row>
    <row r="155" spans="1:7" ht="11.25" customHeight="1">
      <c r="A155" t="s">
        <v>16</v>
      </c>
      <c r="B155" t="s">
        <v>3654</v>
      </c>
      <c r="C155" t="s">
        <v>3655</v>
      </c>
      <c r="D155" t="s">
        <v>3667</v>
      </c>
      <c r="E155" t="s">
        <v>3668</v>
      </c>
      <c r="F155" t="s">
        <v>3308</v>
      </c>
      <c r="G155" t="s">
        <v>3669</v>
      </c>
    </row>
    <row r="156" spans="1:7" ht="11.25" customHeight="1">
      <c r="A156" t="s">
        <v>16</v>
      </c>
      <c r="B156" t="s">
        <v>3654</v>
      </c>
      <c r="C156" t="s">
        <v>3655</v>
      </c>
      <c r="D156" t="s">
        <v>3670</v>
      </c>
      <c r="E156" t="s">
        <v>3671</v>
      </c>
      <c r="F156" t="s">
        <v>3308</v>
      </c>
      <c r="G156" t="s">
        <v>3672</v>
      </c>
    </row>
    <row r="157" spans="1:7" ht="11.25" customHeight="1">
      <c r="A157" t="s">
        <v>16</v>
      </c>
      <c r="B157" t="s">
        <v>3654</v>
      </c>
      <c r="C157" t="s">
        <v>3655</v>
      </c>
      <c r="D157" t="s">
        <v>3673</v>
      </c>
      <c r="E157" t="s">
        <v>3674</v>
      </c>
      <c r="F157" t="s">
        <v>3308</v>
      </c>
      <c r="G157" t="s">
        <v>3675</v>
      </c>
    </row>
    <row r="158" spans="1:7" ht="11.25" customHeight="1">
      <c r="A158" t="s">
        <v>16</v>
      </c>
      <c r="B158" t="s">
        <v>3654</v>
      </c>
      <c r="C158" t="s">
        <v>3655</v>
      </c>
      <c r="D158" t="s">
        <v>3676</v>
      </c>
      <c r="E158" t="s">
        <v>3677</v>
      </c>
      <c r="F158" t="s">
        <v>3308</v>
      </c>
      <c r="G158" t="s">
        <v>3678</v>
      </c>
    </row>
    <row r="159" spans="1:7" ht="11.25" customHeight="1">
      <c r="A159" t="s">
        <v>16</v>
      </c>
      <c r="B159" t="s">
        <v>116</v>
      </c>
      <c r="C159" t="s">
        <v>3679</v>
      </c>
      <c r="D159" t="s">
        <v>3680</v>
      </c>
      <c r="E159" t="s">
        <v>3681</v>
      </c>
      <c r="F159" t="s">
        <v>3308</v>
      </c>
      <c r="G159" t="s">
        <v>3682</v>
      </c>
    </row>
    <row r="160" spans="1:7" ht="11.25" customHeight="1">
      <c r="A160" t="s">
        <v>16</v>
      </c>
      <c r="B160" t="s">
        <v>116</v>
      </c>
      <c r="C160" t="s">
        <v>3679</v>
      </c>
      <c r="D160" t="s">
        <v>117</v>
      </c>
      <c r="E160" t="s">
        <v>118</v>
      </c>
      <c r="F160" t="s">
        <v>3308</v>
      </c>
      <c r="G160" t="s">
        <v>115</v>
      </c>
    </row>
    <row r="161" spans="1:7" ht="11.25" customHeight="1">
      <c r="A161" t="s">
        <v>16</v>
      </c>
      <c r="B161" t="s">
        <v>116</v>
      </c>
      <c r="C161" t="s">
        <v>3679</v>
      </c>
      <c r="D161" t="s">
        <v>3683</v>
      </c>
      <c r="E161" t="s">
        <v>3684</v>
      </c>
      <c r="F161" t="s">
        <v>3308</v>
      </c>
      <c r="G161" t="s">
        <v>3685</v>
      </c>
    </row>
    <row r="162" spans="1:7" ht="11.25" customHeight="1">
      <c r="A162" t="s">
        <v>16</v>
      </c>
      <c r="B162" t="s">
        <v>116</v>
      </c>
      <c r="C162" t="s">
        <v>3679</v>
      </c>
      <c r="D162" t="s">
        <v>3686</v>
      </c>
      <c r="E162" t="s">
        <v>3687</v>
      </c>
      <c r="F162" t="s">
        <v>3688</v>
      </c>
      <c r="G162" t="s">
        <v>3689</v>
      </c>
    </row>
    <row r="163" spans="1:7" ht="11.25" customHeight="1">
      <c r="A163" t="s">
        <v>16</v>
      </c>
      <c r="B163" t="s">
        <v>116</v>
      </c>
      <c r="C163" t="s">
        <v>3679</v>
      </c>
      <c r="D163" t="s">
        <v>3690</v>
      </c>
      <c r="E163" t="s">
        <v>3691</v>
      </c>
      <c r="F163" t="s">
        <v>3308</v>
      </c>
      <c r="G163" t="s">
        <v>3692</v>
      </c>
    </row>
    <row r="164" spans="1:7" ht="11.25" customHeight="1">
      <c r="A164" t="s">
        <v>16</v>
      </c>
      <c r="B164" t="s">
        <v>116</v>
      </c>
      <c r="C164" t="s">
        <v>3679</v>
      </c>
      <c r="D164" t="s">
        <v>3693</v>
      </c>
      <c r="E164" t="s">
        <v>3694</v>
      </c>
      <c r="F164" t="s">
        <v>3308</v>
      </c>
      <c r="G164" t="s">
        <v>3695</v>
      </c>
    </row>
    <row r="165" spans="1:7" ht="11.25" customHeight="1">
      <c r="A165" t="s">
        <v>16</v>
      </c>
      <c r="B165" t="s">
        <v>116</v>
      </c>
      <c r="C165" t="s">
        <v>3679</v>
      </c>
      <c r="D165" t="s">
        <v>3696</v>
      </c>
      <c r="E165" t="s">
        <v>3697</v>
      </c>
      <c r="F165" t="s">
        <v>3308</v>
      </c>
      <c r="G165" t="s">
        <v>3698</v>
      </c>
    </row>
    <row r="166" spans="1:7" ht="11.25" customHeight="1">
      <c r="A166" t="s">
        <v>16</v>
      </c>
      <c r="B166" t="s">
        <v>116</v>
      </c>
      <c r="C166" t="s">
        <v>3679</v>
      </c>
      <c r="D166" t="s">
        <v>116</v>
      </c>
      <c r="E166" t="s">
        <v>3679</v>
      </c>
      <c r="F166" t="s">
        <v>3305</v>
      </c>
      <c r="G166" t="s">
        <v>3699</v>
      </c>
    </row>
    <row r="167" spans="1:7" ht="11.25" customHeight="1">
      <c r="A167" t="s">
        <v>16</v>
      </c>
      <c r="B167" t="s">
        <v>116</v>
      </c>
      <c r="C167" t="s">
        <v>3679</v>
      </c>
      <c r="D167" t="s">
        <v>3700</v>
      </c>
      <c r="E167" t="s">
        <v>3701</v>
      </c>
      <c r="F167" t="s">
        <v>3308</v>
      </c>
      <c r="G167" t="s">
        <v>3702</v>
      </c>
    </row>
    <row r="168" spans="1:7" ht="11.25" customHeight="1">
      <c r="A168" t="s">
        <v>16</v>
      </c>
      <c r="B168" t="s">
        <v>116</v>
      </c>
      <c r="C168" t="s">
        <v>3679</v>
      </c>
      <c r="D168" t="s">
        <v>3703</v>
      </c>
      <c r="E168" t="s">
        <v>3704</v>
      </c>
      <c r="F168" t="s">
        <v>3308</v>
      </c>
      <c r="G168" t="s">
        <v>3705</v>
      </c>
    </row>
    <row r="169" spans="1:7" ht="11.25" customHeight="1">
      <c r="A169" t="s">
        <v>16</v>
      </c>
      <c r="B169" t="s">
        <v>116</v>
      </c>
      <c r="C169" t="s">
        <v>3679</v>
      </c>
      <c r="D169" t="s">
        <v>3706</v>
      </c>
      <c r="E169" t="s">
        <v>3707</v>
      </c>
      <c r="F169" t="s">
        <v>3308</v>
      </c>
      <c r="G169" t="s">
        <v>3708</v>
      </c>
    </row>
    <row r="170" spans="1:7" ht="11.25" customHeight="1">
      <c r="A170" t="s">
        <v>16</v>
      </c>
      <c r="B170" t="s">
        <v>116</v>
      </c>
      <c r="C170" t="s">
        <v>3679</v>
      </c>
      <c r="D170" t="s">
        <v>3709</v>
      </c>
      <c r="E170" t="s">
        <v>3710</v>
      </c>
      <c r="F170" t="s">
        <v>3308</v>
      </c>
      <c r="G170" t="s">
        <v>3711</v>
      </c>
    </row>
    <row r="171" spans="1:7" ht="11.25" customHeight="1">
      <c r="A171" t="s">
        <v>16</v>
      </c>
      <c r="B171" t="s">
        <v>116</v>
      </c>
      <c r="C171" t="s">
        <v>3679</v>
      </c>
      <c r="D171" t="s">
        <v>3712</v>
      </c>
      <c r="E171" t="s">
        <v>3713</v>
      </c>
      <c r="F171" t="s">
        <v>3308</v>
      </c>
      <c r="G171" t="s">
        <v>3714</v>
      </c>
    </row>
    <row r="172" spans="1:7" ht="11.25" customHeight="1">
      <c r="A172" t="s">
        <v>16</v>
      </c>
      <c r="B172" t="s">
        <v>3715</v>
      </c>
      <c r="C172" t="s">
        <v>3716</v>
      </c>
      <c r="D172" t="s">
        <v>3717</v>
      </c>
      <c r="E172" t="s">
        <v>3718</v>
      </c>
      <c r="F172" t="s">
        <v>3308</v>
      </c>
      <c r="G172" t="s">
        <v>3719</v>
      </c>
    </row>
    <row r="173" spans="1:7" ht="11.25" customHeight="1">
      <c r="A173" t="s">
        <v>16</v>
      </c>
      <c r="B173" t="s">
        <v>3715</v>
      </c>
      <c r="C173" t="s">
        <v>3716</v>
      </c>
      <c r="D173" t="s">
        <v>3720</v>
      </c>
      <c r="E173" t="s">
        <v>3721</v>
      </c>
      <c r="F173" t="s">
        <v>3308</v>
      </c>
      <c r="G173" t="s">
        <v>3722</v>
      </c>
    </row>
    <row r="174" spans="1:7" ht="11.25" customHeight="1">
      <c r="A174" t="s">
        <v>16</v>
      </c>
      <c r="B174" t="s">
        <v>3715</v>
      </c>
      <c r="C174" t="s">
        <v>3716</v>
      </c>
      <c r="D174" t="s">
        <v>3723</v>
      </c>
      <c r="E174" t="s">
        <v>3724</v>
      </c>
      <c r="F174" t="s">
        <v>3308</v>
      </c>
      <c r="G174" t="s">
        <v>3725</v>
      </c>
    </row>
    <row r="175" spans="1:7" ht="11.25" customHeight="1">
      <c r="A175" t="s">
        <v>16</v>
      </c>
      <c r="B175" t="s">
        <v>3715</v>
      </c>
      <c r="C175" t="s">
        <v>3716</v>
      </c>
      <c r="D175" t="s">
        <v>3726</v>
      </c>
      <c r="E175" t="s">
        <v>3727</v>
      </c>
      <c r="F175" t="s">
        <v>3308</v>
      </c>
      <c r="G175" t="s">
        <v>3728</v>
      </c>
    </row>
    <row r="176" spans="1:7" ht="11.25" customHeight="1">
      <c r="A176" t="s">
        <v>16</v>
      </c>
      <c r="B176" t="s">
        <v>3715</v>
      </c>
      <c r="C176" t="s">
        <v>3716</v>
      </c>
      <c r="D176" t="s">
        <v>3715</v>
      </c>
      <c r="E176" t="s">
        <v>3716</v>
      </c>
      <c r="F176" t="s">
        <v>3305</v>
      </c>
      <c r="G176" t="s">
        <v>3729</v>
      </c>
    </row>
    <row r="177" spans="1:7" ht="11.25" customHeight="1">
      <c r="A177" t="s">
        <v>16</v>
      </c>
      <c r="B177" t="s">
        <v>3715</v>
      </c>
      <c r="C177" t="s">
        <v>3716</v>
      </c>
      <c r="D177" t="s">
        <v>3730</v>
      </c>
      <c r="E177" t="s">
        <v>3731</v>
      </c>
      <c r="F177" t="s">
        <v>3308</v>
      </c>
      <c r="G177" t="s">
        <v>3732</v>
      </c>
    </row>
    <row r="178" spans="1:7" ht="11.25" customHeight="1">
      <c r="A178" t="s">
        <v>16</v>
      </c>
      <c r="B178" t="s">
        <v>3715</v>
      </c>
      <c r="C178" t="s">
        <v>3716</v>
      </c>
      <c r="D178" t="s">
        <v>3733</v>
      </c>
      <c r="E178" t="s">
        <v>3734</v>
      </c>
      <c r="F178" t="s">
        <v>3308</v>
      </c>
      <c r="G178" t="s">
        <v>3735</v>
      </c>
    </row>
    <row r="179" spans="1:7" ht="11.25" customHeight="1">
      <c r="A179" t="s">
        <v>16</v>
      </c>
      <c r="B179" t="s">
        <v>3715</v>
      </c>
      <c r="C179" t="s">
        <v>3716</v>
      </c>
      <c r="D179" t="s">
        <v>3736</v>
      </c>
      <c r="E179" t="s">
        <v>3737</v>
      </c>
      <c r="F179" t="s">
        <v>3308</v>
      </c>
      <c r="G179" t="s">
        <v>3738</v>
      </c>
    </row>
    <row r="180" spans="1:7" ht="11.25" customHeight="1">
      <c r="A180" t="s">
        <v>16</v>
      </c>
      <c r="B180" t="s">
        <v>3715</v>
      </c>
      <c r="C180" t="s">
        <v>3716</v>
      </c>
      <c r="D180" t="s">
        <v>3739</v>
      </c>
      <c r="E180" t="s">
        <v>3740</v>
      </c>
      <c r="F180" t="s">
        <v>3308</v>
      </c>
      <c r="G180" t="s">
        <v>3741</v>
      </c>
    </row>
    <row r="181" spans="1:7" ht="11.25" customHeight="1">
      <c r="A181" t="s">
        <v>16</v>
      </c>
      <c r="B181" t="s">
        <v>3715</v>
      </c>
      <c r="C181" t="s">
        <v>3716</v>
      </c>
      <c r="D181" t="s">
        <v>3742</v>
      </c>
      <c r="E181" t="s">
        <v>3743</v>
      </c>
      <c r="F181" t="s">
        <v>3308</v>
      </c>
      <c r="G181" t="s">
        <v>3744</v>
      </c>
    </row>
    <row r="182" spans="1:7" ht="11.25" customHeight="1">
      <c r="A182" t="s">
        <v>16</v>
      </c>
      <c r="B182" t="s">
        <v>3715</v>
      </c>
      <c r="C182" t="s">
        <v>3716</v>
      </c>
      <c r="D182" t="s">
        <v>3745</v>
      </c>
      <c r="E182" t="s">
        <v>3746</v>
      </c>
      <c r="F182" t="s">
        <v>3308</v>
      </c>
      <c r="G182" t="s">
        <v>3747</v>
      </c>
    </row>
    <row r="183" spans="1:7" ht="11.25" customHeight="1">
      <c r="A183" t="s">
        <v>16</v>
      </c>
      <c r="B183" t="s">
        <v>3748</v>
      </c>
      <c r="C183" t="s">
        <v>3749</v>
      </c>
      <c r="D183" t="s">
        <v>3750</v>
      </c>
      <c r="E183" t="s">
        <v>3751</v>
      </c>
      <c r="F183" t="s">
        <v>3308</v>
      </c>
      <c r="G183" t="s">
        <v>3752</v>
      </c>
    </row>
    <row r="184" spans="1:7" ht="11.25" customHeight="1">
      <c r="A184" t="s">
        <v>16</v>
      </c>
      <c r="B184" t="s">
        <v>3748</v>
      </c>
      <c r="C184" t="s">
        <v>3749</v>
      </c>
      <c r="D184" t="s">
        <v>3753</v>
      </c>
      <c r="E184" t="s">
        <v>3754</v>
      </c>
      <c r="F184" t="s">
        <v>3308</v>
      </c>
      <c r="G184" t="s">
        <v>3755</v>
      </c>
    </row>
    <row r="185" spans="1:7" ht="11.25" customHeight="1">
      <c r="A185" t="s">
        <v>16</v>
      </c>
      <c r="B185" t="s">
        <v>3748</v>
      </c>
      <c r="C185" t="s">
        <v>3749</v>
      </c>
      <c r="D185" t="s">
        <v>3756</v>
      </c>
      <c r="E185" t="s">
        <v>3757</v>
      </c>
      <c r="F185" t="s">
        <v>3308</v>
      </c>
      <c r="G185" t="s">
        <v>3758</v>
      </c>
    </row>
    <row r="186" spans="1:7" ht="11.25" customHeight="1">
      <c r="A186" t="s">
        <v>16</v>
      </c>
      <c r="B186" t="s">
        <v>3748</v>
      </c>
      <c r="C186" t="s">
        <v>3749</v>
      </c>
      <c r="D186" t="s">
        <v>3748</v>
      </c>
      <c r="E186" t="s">
        <v>3749</v>
      </c>
      <c r="F186" t="s">
        <v>3305</v>
      </c>
      <c r="G186" t="s">
        <v>3759</v>
      </c>
    </row>
    <row r="187" spans="1:7" ht="11.25" customHeight="1">
      <c r="A187" t="s">
        <v>16</v>
      </c>
      <c r="B187" t="s">
        <v>3748</v>
      </c>
      <c r="C187" t="s">
        <v>3749</v>
      </c>
      <c r="D187" t="s">
        <v>3760</v>
      </c>
      <c r="E187" t="s">
        <v>3761</v>
      </c>
      <c r="F187" t="s">
        <v>3345</v>
      </c>
      <c r="G187" t="s">
        <v>3762</v>
      </c>
    </row>
    <row r="188" spans="1:7" ht="11.25" customHeight="1">
      <c r="A188" t="s">
        <v>16</v>
      </c>
      <c r="B188" t="s">
        <v>3748</v>
      </c>
      <c r="C188" t="s">
        <v>3749</v>
      </c>
      <c r="D188" t="s">
        <v>3763</v>
      </c>
      <c r="E188" t="s">
        <v>3764</v>
      </c>
      <c r="F188" t="s">
        <v>3308</v>
      </c>
      <c r="G188" t="s">
        <v>3765</v>
      </c>
    </row>
    <row r="189" spans="1:7" ht="11.25" customHeight="1">
      <c r="A189" t="s">
        <v>16</v>
      </c>
      <c r="B189" t="s">
        <v>3748</v>
      </c>
      <c r="C189" t="s">
        <v>3749</v>
      </c>
      <c r="D189" t="s">
        <v>3766</v>
      </c>
      <c r="E189" t="s">
        <v>3767</v>
      </c>
      <c r="F189" t="s">
        <v>3308</v>
      </c>
      <c r="G189" t="s">
        <v>3768</v>
      </c>
    </row>
    <row r="190" spans="1:7" ht="11.25" customHeight="1">
      <c r="A190" t="s">
        <v>16</v>
      </c>
      <c r="B190" t="s">
        <v>3748</v>
      </c>
      <c r="C190" t="s">
        <v>3749</v>
      </c>
      <c r="D190" t="s">
        <v>3769</v>
      </c>
      <c r="E190" t="s">
        <v>3770</v>
      </c>
      <c r="F190" t="s">
        <v>3308</v>
      </c>
      <c r="G190" t="s">
        <v>3771</v>
      </c>
    </row>
    <row r="191" spans="1:7" ht="11.25" customHeight="1">
      <c r="A191" t="s">
        <v>16</v>
      </c>
      <c r="B191" t="s">
        <v>3772</v>
      </c>
      <c r="C191" t="s">
        <v>3773</v>
      </c>
      <c r="D191" t="s">
        <v>3774</v>
      </c>
      <c r="E191" t="s">
        <v>3775</v>
      </c>
      <c r="F191" t="s">
        <v>3308</v>
      </c>
      <c r="G191" t="s">
        <v>3776</v>
      </c>
    </row>
    <row r="192" spans="1:7" ht="11.25" customHeight="1">
      <c r="A192" t="s">
        <v>16</v>
      </c>
      <c r="B192" t="s">
        <v>3772</v>
      </c>
      <c r="C192" t="s">
        <v>3773</v>
      </c>
      <c r="D192" t="s">
        <v>3777</v>
      </c>
      <c r="E192" t="s">
        <v>3778</v>
      </c>
      <c r="F192" t="s">
        <v>3308</v>
      </c>
      <c r="G192" t="s">
        <v>3779</v>
      </c>
    </row>
    <row r="193" spans="1:7" ht="11.25" customHeight="1">
      <c r="A193" t="s">
        <v>16</v>
      </c>
      <c r="B193" t="s">
        <v>3772</v>
      </c>
      <c r="C193" t="s">
        <v>3773</v>
      </c>
      <c r="D193" t="s">
        <v>3780</v>
      </c>
      <c r="E193" t="s">
        <v>3781</v>
      </c>
      <c r="F193" t="s">
        <v>3345</v>
      </c>
      <c r="G193" t="s">
        <v>3782</v>
      </c>
    </row>
    <row r="194" spans="1:7" ht="11.25" customHeight="1">
      <c r="A194" t="s">
        <v>16</v>
      </c>
      <c r="B194" t="s">
        <v>3772</v>
      </c>
      <c r="C194" t="s">
        <v>3773</v>
      </c>
      <c r="D194" t="s">
        <v>3783</v>
      </c>
      <c r="E194" t="s">
        <v>3784</v>
      </c>
      <c r="F194" t="s">
        <v>3308</v>
      </c>
      <c r="G194" t="s">
        <v>3785</v>
      </c>
    </row>
    <row r="195" spans="1:7" ht="11.25" customHeight="1">
      <c r="A195" t="s">
        <v>16</v>
      </c>
      <c r="B195" t="s">
        <v>3772</v>
      </c>
      <c r="C195" t="s">
        <v>3773</v>
      </c>
      <c r="D195" t="s">
        <v>3786</v>
      </c>
      <c r="E195" t="s">
        <v>3787</v>
      </c>
      <c r="F195" t="s">
        <v>3308</v>
      </c>
      <c r="G195" t="s">
        <v>3788</v>
      </c>
    </row>
    <row r="196" spans="1:7" ht="11.25" customHeight="1">
      <c r="A196" t="s">
        <v>16</v>
      </c>
      <c r="B196" t="s">
        <v>3772</v>
      </c>
      <c r="C196" t="s">
        <v>3773</v>
      </c>
      <c r="D196" t="s">
        <v>3570</v>
      </c>
      <c r="E196" t="s">
        <v>3789</v>
      </c>
      <c r="F196" t="s">
        <v>3308</v>
      </c>
      <c r="G196" t="s">
        <v>3790</v>
      </c>
    </row>
    <row r="197" spans="1:7" ht="11.25" customHeight="1">
      <c r="A197" t="s">
        <v>16</v>
      </c>
      <c r="B197" t="s">
        <v>3772</v>
      </c>
      <c r="C197" t="s">
        <v>3773</v>
      </c>
      <c r="D197" t="s">
        <v>3791</v>
      </c>
      <c r="E197" t="s">
        <v>3792</v>
      </c>
      <c r="F197" t="s">
        <v>3308</v>
      </c>
      <c r="G197" t="s">
        <v>3793</v>
      </c>
    </row>
    <row r="198" spans="1:7" ht="11.25" customHeight="1">
      <c r="A198" t="s">
        <v>16</v>
      </c>
      <c r="B198" t="s">
        <v>3772</v>
      </c>
      <c r="C198" t="s">
        <v>3773</v>
      </c>
      <c r="D198" t="s">
        <v>3525</v>
      </c>
      <c r="E198" t="s">
        <v>3794</v>
      </c>
      <c r="F198" t="s">
        <v>3308</v>
      </c>
      <c r="G198" t="s">
        <v>3795</v>
      </c>
    </row>
    <row r="199" spans="1:7" ht="11.25" customHeight="1">
      <c r="A199" t="s">
        <v>16</v>
      </c>
      <c r="B199" t="s">
        <v>3772</v>
      </c>
      <c r="C199" t="s">
        <v>3773</v>
      </c>
      <c r="D199" t="s">
        <v>3772</v>
      </c>
      <c r="E199" t="s">
        <v>3773</v>
      </c>
      <c r="F199" t="s">
        <v>3305</v>
      </c>
      <c r="G199" t="s">
        <v>3796</v>
      </c>
    </row>
    <row r="200" spans="1:7" ht="11.25" customHeight="1">
      <c r="A200" t="s">
        <v>16</v>
      </c>
      <c r="B200" t="s">
        <v>3772</v>
      </c>
      <c r="C200" t="s">
        <v>3773</v>
      </c>
      <c r="D200" t="s">
        <v>3797</v>
      </c>
      <c r="E200" t="s">
        <v>3798</v>
      </c>
      <c r="F200" t="s">
        <v>3345</v>
      </c>
      <c r="G200" t="s">
        <v>3799</v>
      </c>
    </row>
    <row r="201" spans="1:7" ht="11.25" customHeight="1">
      <c r="A201" t="s">
        <v>16</v>
      </c>
      <c r="B201" t="s">
        <v>3772</v>
      </c>
      <c r="C201" t="s">
        <v>3773</v>
      </c>
      <c r="D201" t="s">
        <v>3800</v>
      </c>
      <c r="E201" t="s">
        <v>3801</v>
      </c>
      <c r="F201" t="s">
        <v>3308</v>
      </c>
      <c r="G201" t="s">
        <v>3802</v>
      </c>
    </row>
    <row r="202" spans="1:7" ht="11.25" customHeight="1">
      <c r="A202" t="s">
        <v>16</v>
      </c>
      <c r="B202" t="s">
        <v>3772</v>
      </c>
      <c r="C202" t="s">
        <v>3773</v>
      </c>
      <c r="D202" t="s">
        <v>3803</v>
      </c>
      <c r="E202" t="s">
        <v>3804</v>
      </c>
      <c r="F202" t="s">
        <v>3308</v>
      </c>
      <c r="G202" t="s">
        <v>3805</v>
      </c>
    </row>
    <row r="203" spans="1:7" ht="11.25" customHeight="1">
      <c r="A203" t="s">
        <v>16</v>
      </c>
      <c r="B203" t="s">
        <v>3772</v>
      </c>
      <c r="C203" t="s">
        <v>3773</v>
      </c>
      <c r="D203" t="s">
        <v>3806</v>
      </c>
      <c r="E203" t="s">
        <v>3807</v>
      </c>
      <c r="F203" t="s">
        <v>3308</v>
      </c>
      <c r="G203" t="s">
        <v>3808</v>
      </c>
    </row>
    <row r="204" spans="1:7" ht="11.25" customHeight="1">
      <c r="A204" t="s">
        <v>16</v>
      </c>
      <c r="B204" t="s">
        <v>3772</v>
      </c>
      <c r="C204" t="s">
        <v>3773</v>
      </c>
      <c r="D204" t="s">
        <v>3809</v>
      </c>
      <c r="E204" t="s">
        <v>3810</v>
      </c>
      <c r="F204" t="s">
        <v>3308</v>
      </c>
      <c r="G204" t="s">
        <v>3811</v>
      </c>
    </row>
    <row r="205" spans="1:7" ht="11.25" customHeight="1">
      <c r="A205" t="s">
        <v>16</v>
      </c>
      <c r="B205" t="s">
        <v>3772</v>
      </c>
      <c r="C205" t="s">
        <v>3773</v>
      </c>
      <c r="D205" t="s">
        <v>3812</v>
      </c>
      <c r="E205" t="s">
        <v>3813</v>
      </c>
      <c r="F205" t="s">
        <v>3688</v>
      </c>
      <c r="G205" t="s">
        <v>3814</v>
      </c>
    </row>
    <row r="206" spans="1:7" ht="11.25" customHeight="1">
      <c r="A206" t="s">
        <v>16</v>
      </c>
      <c r="B206" t="s">
        <v>3772</v>
      </c>
      <c r="C206" t="s">
        <v>3773</v>
      </c>
      <c r="D206" t="s">
        <v>3815</v>
      </c>
      <c r="E206" t="s">
        <v>3816</v>
      </c>
      <c r="F206" t="s">
        <v>3308</v>
      </c>
      <c r="G206" t="s">
        <v>3817</v>
      </c>
    </row>
    <row r="207" spans="1:7" ht="11.25" customHeight="1">
      <c r="A207" t="s">
        <v>16</v>
      </c>
      <c r="B207" t="s">
        <v>3818</v>
      </c>
      <c r="C207" t="s">
        <v>3819</v>
      </c>
      <c r="D207" t="s">
        <v>3820</v>
      </c>
      <c r="E207" t="s">
        <v>3821</v>
      </c>
      <c r="F207" t="s">
        <v>3308</v>
      </c>
      <c r="G207" t="s">
        <v>3822</v>
      </c>
    </row>
    <row r="208" spans="1:7" ht="11.25" customHeight="1">
      <c r="A208" t="s">
        <v>16</v>
      </c>
      <c r="B208" t="s">
        <v>3818</v>
      </c>
      <c r="C208" t="s">
        <v>3819</v>
      </c>
      <c r="D208" t="s">
        <v>3818</v>
      </c>
      <c r="E208" t="s">
        <v>3819</v>
      </c>
      <c r="F208" t="s">
        <v>3305</v>
      </c>
      <c r="G208" t="s">
        <v>3823</v>
      </c>
    </row>
    <row r="209" spans="1:7" ht="11.25" customHeight="1">
      <c r="A209" t="s">
        <v>16</v>
      </c>
      <c r="B209" t="s">
        <v>3818</v>
      </c>
      <c r="C209" t="s">
        <v>3819</v>
      </c>
      <c r="D209" t="s">
        <v>3824</v>
      </c>
      <c r="E209" t="s">
        <v>3825</v>
      </c>
      <c r="F209" t="s">
        <v>3308</v>
      </c>
      <c r="G209" t="s">
        <v>3826</v>
      </c>
    </row>
    <row r="210" spans="1:7" ht="11.25" customHeight="1">
      <c r="A210" t="s">
        <v>16</v>
      </c>
      <c r="B210" t="s">
        <v>3818</v>
      </c>
      <c r="C210" t="s">
        <v>3819</v>
      </c>
      <c r="D210" t="s">
        <v>3827</v>
      </c>
      <c r="E210" t="s">
        <v>3828</v>
      </c>
      <c r="F210" t="s">
        <v>3308</v>
      </c>
      <c r="G210" t="s">
        <v>3829</v>
      </c>
    </row>
    <row r="211" spans="1:7" ht="11.25" customHeight="1">
      <c r="A211" t="s">
        <v>16</v>
      </c>
      <c r="B211" t="s">
        <v>3830</v>
      </c>
      <c r="C211" t="s">
        <v>3831</v>
      </c>
      <c r="D211" t="s">
        <v>3832</v>
      </c>
      <c r="E211" t="s">
        <v>3833</v>
      </c>
      <c r="F211" t="s">
        <v>3308</v>
      </c>
      <c r="G211" t="s">
        <v>3834</v>
      </c>
    </row>
    <row r="212" spans="1:7" ht="11.25" customHeight="1">
      <c r="A212" t="s">
        <v>16</v>
      </c>
      <c r="B212" t="s">
        <v>3830</v>
      </c>
      <c r="C212" t="s">
        <v>3831</v>
      </c>
      <c r="D212" t="s">
        <v>3835</v>
      </c>
      <c r="E212" t="s">
        <v>3836</v>
      </c>
      <c r="F212" t="s">
        <v>3308</v>
      </c>
      <c r="G212" t="s">
        <v>3837</v>
      </c>
    </row>
    <row r="213" spans="1:7" ht="11.25" customHeight="1">
      <c r="A213" t="s">
        <v>16</v>
      </c>
      <c r="B213" t="s">
        <v>3830</v>
      </c>
      <c r="C213" t="s">
        <v>3831</v>
      </c>
      <c r="D213" t="s">
        <v>3838</v>
      </c>
      <c r="E213" t="s">
        <v>3839</v>
      </c>
      <c r="F213" t="s">
        <v>3308</v>
      </c>
      <c r="G213" t="s">
        <v>3840</v>
      </c>
    </row>
    <row r="214" spans="1:7" ht="11.25" customHeight="1">
      <c r="A214" t="s">
        <v>16</v>
      </c>
      <c r="B214" t="s">
        <v>3830</v>
      </c>
      <c r="C214" t="s">
        <v>3831</v>
      </c>
      <c r="D214" t="s">
        <v>3841</v>
      </c>
      <c r="E214" t="s">
        <v>3842</v>
      </c>
      <c r="F214" t="s">
        <v>3308</v>
      </c>
      <c r="G214" t="s">
        <v>3843</v>
      </c>
    </row>
    <row r="215" spans="1:7" ht="11.25" customHeight="1">
      <c r="A215" t="s">
        <v>16</v>
      </c>
      <c r="B215" t="s">
        <v>3830</v>
      </c>
      <c r="C215" t="s">
        <v>3831</v>
      </c>
      <c r="D215" t="s">
        <v>3844</v>
      </c>
      <c r="E215" t="s">
        <v>3845</v>
      </c>
      <c r="F215" t="s">
        <v>3308</v>
      </c>
      <c r="G215" t="s">
        <v>3846</v>
      </c>
    </row>
    <row r="216" spans="1:7" ht="11.25" customHeight="1">
      <c r="A216" t="s">
        <v>16</v>
      </c>
      <c r="B216" t="s">
        <v>3830</v>
      </c>
      <c r="C216" t="s">
        <v>3831</v>
      </c>
      <c r="D216" t="s">
        <v>3830</v>
      </c>
      <c r="E216" t="s">
        <v>3831</v>
      </c>
      <c r="F216" t="s">
        <v>3305</v>
      </c>
      <c r="G216" t="s">
        <v>3847</v>
      </c>
    </row>
    <row r="217" spans="1:7" ht="11.25" customHeight="1">
      <c r="A217" t="s">
        <v>16</v>
      </c>
      <c r="B217" t="s">
        <v>3830</v>
      </c>
      <c r="C217" t="s">
        <v>3831</v>
      </c>
      <c r="D217" t="s">
        <v>3848</v>
      </c>
      <c r="E217" t="s">
        <v>3849</v>
      </c>
      <c r="F217" t="s">
        <v>3308</v>
      </c>
      <c r="G217" t="s">
        <v>3850</v>
      </c>
    </row>
    <row r="218" spans="1:7" ht="11.25" customHeight="1">
      <c r="A218" t="s">
        <v>16</v>
      </c>
      <c r="B218" t="s">
        <v>3830</v>
      </c>
      <c r="C218" t="s">
        <v>3831</v>
      </c>
      <c r="D218" t="s">
        <v>3851</v>
      </c>
      <c r="E218" t="s">
        <v>3852</v>
      </c>
      <c r="F218" t="s">
        <v>3308</v>
      </c>
      <c r="G218" t="s">
        <v>3853</v>
      </c>
    </row>
    <row r="219" spans="1:7" ht="11.25" customHeight="1">
      <c r="A219" t="s">
        <v>16</v>
      </c>
      <c r="B219" t="s">
        <v>3830</v>
      </c>
      <c r="C219" t="s">
        <v>3831</v>
      </c>
      <c r="D219" t="s">
        <v>3854</v>
      </c>
      <c r="E219" t="s">
        <v>3855</v>
      </c>
      <c r="F219" t="s">
        <v>3308</v>
      </c>
      <c r="G219" t="s">
        <v>3856</v>
      </c>
    </row>
    <row r="220" spans="1:7" ht="11.25" customHeight="1">
      <c r="A220" t="s">
        <v>16</v>
      </c>
      <c r="B220" t="s">
        <v>3830</v>
      </c>
      <c r="C220" t="s">
        <v>3831</v>
      </c>
      <c r="D220" t="s">
        <v>3857</v>
      </c>
      <c r="E220" t="s">
        <v>3858</v>
      </c>
      <c r="F220" t="s">
        <v>3308</v>
      </c>
      <c r="G220" t="s">
        <v>3859</v>
      </c>
    </row>
    <row r="221" spans="1:7" ht="11.25" customHeight="1">
      <c r="A221" t="s">
        <v>16</v>
      </c>
      <c r="B221" t="s">
        <v>3860</v>
      </c>
      <c r="C221" t="s">
        <v>3861</v>
      </c>
      <c r="D221" t="s">
        <v>3862</v>
      </c>
      <c r="E221" t="s">
        <v>3863</v>
      </c>
      <c r="F221" t="s">
        <v>3308</v>
      </c>
      <c r="G221" t="s">
        <v>3864</v>
      </c>
    </row>
    <row r="222" spans="1:7" ht="11.25" customHeight="1">
      <c r="A222" t="s">
        <v>16</v>
      </c>
      <c r="B222" t="s">
        <v>3860</v>
      </c>
      <c r="C222" t="s">
        <v>3861</v>
      </c>
      <c r="D222" t="s">
        <v>3865</v>
      </c>
      <c r="E222" t="s">
        <v>3866</v>
      </c>
      <c r="F222" t="s">
        <v>3308</v>
      </c>
      <c r="G222" t="s">
        <v>3867</v>
      </c>
    </row>
    <row r="223" spans="1:7" ht="11.25" customHeight="1">
      <c r="A223" t="s">
        <v>16</v>
      </c>
      <c r="B223" t="s">
        <v>3860</v>
      </c>
      <c r="C223" t="s">
        <v>3861</v>
      </c>
      <c r="D223" t="s">
        <v>3868</v>
      </c>
      <c r="E223" t="s">
        <v>3869</v>
      </c>
      <c r="F223" t="s">
        <v>3308</v>
      </c>
      <c r="G223" t="s">
        <v>3870</v>
      </c>
    </row>
    <row r="224" spans="1:7" ht="11.25" customHeight="1">
      <c r="A224" t="s">
        <v>16</v>
      </c>
      <c r="B224" t="s">
        <v>3860</v>
      </c>
      <c r="C224" t="s">
        <v>3861</v>
      </c>
      <c r="D224" t="s">
        <v>3871</v>
      </c>
      <c r="E224" t="s">
        <v>3872</v>
      </c>
      <c r="F224" t="s">
        <v>3308</v>
      </c>
      <c r="G224" t="s">
        <v>3873</v>
      </c>
    </row>
    <row r="225" spans="1:7" ht="11.25" customHeight="1">
      <c r="A225" t="s">
        <v>16</v>
      </c>
      <c r="B225" t="s">
        <v>3860</v>
      </c>
      <c r="C225" t="s">
        <v>3861</v>
      </c>
      <c r="D225" t="s">
        <v>3874</v>
      </c>
      <c r="E225" t="s">
        <v>3875</v>
      </c>
      <c r="F225" t="s">
        <v>3308</v>
      </c>
      <c r="G225" t="s">
        <v>3876</v>
      </c>
    </row>
    <row r="226" spans="1:7" ht="11.25" customHeight="1">
      <c r="A226" t="s">
        <v>16</v>
      </c>
      <c r="B226" t="s">
        <v>3860</v>
      </c>
      <c r="C226" t="s">
        <v>3861</v>
      </c>
      <c r="D226" t="s">
        <v>3860</v>
      </c>
      <c r="E226" t="s">
        <v>3861</v>
      </c>
      <c r="F226" t="s">
        <v>3305</v>
      </c>
      <c r="G226" t="s">
        <v>3877</v>
      </c>
    </row>
    <row r="227" spans="1:7" ht="11.25" customHeight="1">
      <c r="A227" t="s">
        <v>16</v>
      </c>
      <c r="B227" t="s">
        <v>3860</v>
      </c>
      <c r="C227" t="s">
        <v>3861</v>
      </c>
      <c r="D227" t="s">
        <v>3878</v>
      </c>
      <c r="E227" t="s">
        <v>3879</v>
      </c>
      <c r="F227" t="s">
        <v>3308</v>
      </c>
      <c r="G227" t="s">
        <v>3880</v>
      </c>
    </row>
    <row r="228" spans="1:7" ht="11.25" customHeight="1">
      <c r="A228" t="s">
        <v>16</v>
      </c>
      <c r="B228" t="s">
        <v>3860</v>
      </c>
      <c r="C228" t="s">
        <v>3861</v>
      </c>
      <c r="D228" t="s">
        <v>3881</v>
      </c>
      <c r="E228" t="s">
        <v>3882</v>
      </c>
      <c r="F228" t="s">
        <v>3308</v>
      </c>
      <c r="G228" t="s">
        <v>3883</v>
      </c>
    </row>
    <row r="229" spans="1:7" ht="11.25" customHeight="1">
      <c r="A229" t="s">
        <v>16</v>
      </c>
      <c r="B229" t="s">
        <v>3860</v>
      </c>
      <c r="C229" t="s">
        <v>3861</v>
      </c>
      <c r="D229" t="s">
        <v>3884</v>
      </c>
      <c r="E229" t="s">
        <v>3885</v>
      </c>
      <c r="F229" t="s">
        <v>3308</v>
      </c>
      <c r="G229" t="s">
        <v>3886</v>
      </c>
    </row>
    <row r="230" spans="1:7" ht="11.25" customHeight="1">
      <c r="A230" t="s">
        <v>16</v>
      </c>
      <c r="B230" t="s">
        <v>120</v>
      </c>
      <c r="C230" t="s">
        <v>3887</v>
      </c>
      <c r="D230" t="s">
        <v>3888</v>
      </c>
      <c r="E230" t="s">
        <v>3889</v>
      </c>
      <c r="F230" t="s">
        <v>3308</v>
      </c>
      <c r="G230" t="s">
        <v>3890</v>
      </c>
    </row>
    <row r="231" spans="1:7" ht="11.25" customHeight="1">
      <c r="A231" t="s">
        <v>16</v>
      </c>
      <c r="B231" t="s">
        <v>120</v>
      </c>
      <c r="C231" t="s">
        <v>3887</v>
      </c>
      <c r="D231" t="s">
        <v>3891</v>
      </c>
      <c r="E231" t="s">
        <v>3892</v>
      </c>
      <c r="F231" t="s">
        <v>3308</v>
      </c>
      <c r="G231" t="s">
        <v>3893</v>
      </c>
    </row>
    <row r="232" spans="1:7" ht="11.25" customHeight="1">
      <c r="A232" t="s">
        <v>16</v>
      </c>
      <c r="B232" t="s">
        <v>120</v>
      </c>
      <c r="C232" t="s">
        <v>3887</v>
      </c>
      <c r="D232" t="s">
        <v>3894</v>
      </c>
      <c r="E232" t="s">
        <v>3895</v>
      </c>
      <c r="F232" t="s">
        <v>3308</v>
      </c>
      <c r="G232" t="s">
        <v>3896</v>
      </c>
    </row>
    <row r="233" spans="1:7" ht="11.25" customHeight="1">
      <c r="A233" t="s">
        <v>16</v>
      </c>
      <c r="B233" t="s">
        <v>120</v>
      </c>
      <c r="C233" t="s">
        <v>3887</v>
      </c>
      <c r="D233" t="s">
        <v>3897</v>
      </c>
      <c r="E233" t="s">
        <v>3898</v>
      </c>
      <c r="F233" t="s">
        <v>3308</v>
      </c>
      <c r="G233" t="s">
        <v>3899</v>
      </c>
    </row>
    <row r="234" spans="1:7" ht="11.25" customHeight="1">
      <c r="A234" t="s">
        <v>16</v>
      </c>
      <c r="B234" t="s">
        <v>120</v>
      </c>
      <c r="C234" t="s">
        <v>3887</v>
      </c>
      <c r="D234" t="s">
        <v>3900</v>
      </c>
      <c r="E234" t="s">
        <v>3901</v>
      </c>
      <c r="F234" t="s">
        <v>3308</v>
      </c>
      <c r="G234" t="s">
        <v>3902</v>
      </c>
    </row>
    <row r="235" spans="1:7" ht="11.25" customHeight="1">
      <c r="A235" t="s">
        <v>16</v>
      </c>
      <c r="B235" t="s">
        <v>120</v>
      </c>
      <c r="C235" t="s">
        <v>3887</v>
      </c>
      <c r="D235" t="s">
        <v>3903</v>
      </c>
      <c r="E235" t="s">
        <v>3904</v>
      </c>
      <c r="F235" t="s">
        <v>3308</v>
      </c>
      <c r="G235" t="s">
        <v>3905</v>
      </c>
    </row>
    <row r="236" spans="1:7" ht="11.25" customHeight="1">
      <c r="A236" t="s">
        <v>16</v>
      </c>
      <c r="B236" t="s">
        <v>120</v>
      </c>
      <c r="C236" t="s">
        <v>3887</v>
      </c>
      <c r="D236" t="s">
        <v>120</v>
      </c>
      <c r="E236" t="s">
        <v>3887</v>
      </c>
      <c r="F236" t="s">
        <v>3305</v>
      </c>
      <c r="G236" t="s">
        <v>3906</v>
      </c>
    </row>
    <row r="237" spans="1:7" ht="11.25" customHeight="1">
      <c r="A237" t="s">
        <v>16</v>
      </c>
      <c r="B237" t="s">
        <v>120</v>
      </c>
      <c r="C237" t="s">
        <v>3887</v>
      </c>
      <c r="D237" t="s">
        <v>121</v>
      </c>
      <c r="E237" t="s">
        <v>122</v>
      </c>
      <c r="F237" t="s">
        <v>3345</v>
      </c>
      <c r="G237" t="s">
        <v>119</v>
      </c>
    </row>
    <row r="238" spans="1:7" ht="11.25" customHeight="1">
      <c r="A238" t="s">
        <v>16</v>
      </c>
      <c r="B238" t="s">
        <v>120</v>
      </c>
      <c r="C238" t="s">
        <v>3887</v>
      </c>
      <c r="D238" t="s">
        <v>3907</v>
      </c>
      <c r="E238" t="s">
        <v>3908</v>
      </c>
      <c r="F238" t="s">
        <v>3308</v>
      </c>
      <c r="G238" t="s">
        <v>3909</v>
      </c>
    </row>
    <row r="239" spans="1:7" ht="11.25" customHeight="1">
      <c r="A239" t="s">
        <v>16</v>
      </c>
      <c r="B239" t="s">
        <v>120</v>
      </c>
      <c r="C239" t="s">
        <v>3887</v>
      </c>
      <c r="D239" t="s">
        <v>3736</v>
      </c>
      <c r="E239" t="s">
        <v>3910</v>
      </c>
      <c r="F239" t="s">
        <v>3308</v>
      </c>
      <c r="G239" t="s">
        <v>3911</v>
      </c>
    </row>
    <row r="240" spans="1:7" ht="11.25" customHeight="1">
      <c r="A240" t="s">
        <v>16</v>
      </c>
      <c r="B240" t="s">
        <v>120</v>
      </c>
      <c r="C240" t="s">
        <v>3887</v>
      </c>
      <c r="D240" t="s">
        <v>3912</v>
      </c>
      <c r="E240" t="s">
        <v>3913</v>
      </c>
      <c r="F240" t="s">
        <v>3308</v>
      </c>
      <c r="G240" t="s">
        <v>3914</v>
      </c>
    </row>
    <row r="241" spans="1:7" ht="11.25" customHeight="1">
      <c r="A241" t="s">
        <v>16</v>
      </c>
      <c r="B241" t="s">
        <v>120</v>
      </c>
      <c r="C241" t="s">
        <v>3887</v>
      </c>
      <c r="D241" t="s">
        <v>3915</v>
      </c>
      <c r="E241" t="s">
        <v>3916</v>
      </c>
      <c r="F241" t="s">
        <v>3308</v>
      </c>
      <c r="G241" t="s">
        <v>3917</v>
      </c>
    </row>
    <row r="242" spans="1:7" ht="11.25" customHeight="1">
      <c r="A242" t="s">
        <v>16</v>
      </c>
      <c r="B242" t="s">
        <v>120</v>
      </c>
      <c r="C242" t="s">
        <v>3887</v>
      </c>
      <c r="D242" t="s">
        <v>3918</v>
      </c>
      <c r="E242" t="s">
        <v>3919</v>
      </c>
      <c r="F242" t="s">
        <v>3308</v>
      </c>
      <c r="G242" t="s">
        <v>3920</v>
      </c>
    </row>
    <row r="243" spans="1:7" ht="11.25" customHeight="1">
      <c r="A243" t="s">
        <v>16</v>
      </c>
      <c r="B243" t="s">
        <v>120</v>
      </c>
      <c r="C243" t="s">
        <v>3887</v>
      </c>
      <c r="D243" t="s">
        <v>3921</v>
      </c>
      <c r="E243" t="s">
        <v>3922</v>
      </c>
      <c r="F243" t="s">
        <v>3308</v>
      </c>
      <c r="G243" t="s">
        <v>3923</v>
      </c>
    </row>
    <row r="244" spans="1:7" ht="11.25" customHeight="1">
      <c r="A244" t="s">
        <v>16</v>
      </c>
      <c r="B244" t="s">
        <v>3924</v>
      </c>
      <c r="C244" t="s">
        <v>3925</v>
      </c>
      <c r="D244" t="s">
        <v>3926</v>
      </c>
      <c r="E244" t="s">
        <v>3927</v>
      </c>
      <c r="F244" t="s">
        <v>3308</v>
      </c>
      <c r="G244" t="s">
        <v>3928</v>
      </c>
    </row>
    <row r="245" spans="1:7" ht="11.25" customHeight="1">
      <c r="A245" t="s">
        <v>16</v>
      </c>
      <c r="B245" t="s">
        <v>3924</v>
      </c>
      <c r="C245" t="s">
        <v>3925</v>
      </c>
      <c r="D245" t="s">
        <v>3929</v>
      </c>
      <c r="E245" t="s">
        <v>3930</v>
      </c>
      <c r="F245" t="s">
        <v>3308</v>
      </c>
      <c r="G245" t="s">
        <v>3931</v>
      </c>
    </row>
    <row r="246" spans="1:7" ht="11.25" customHeight="1">
      <c r="A246" t="s">
        <v>16</v>
      </c>
      <c r="B246" t="s">
        <v>3924</v>
      </c>
      <c r="C246" t="s">
        <v>3925</v>
      </c>
      <c r="D246" t="s">
        <v>3924</v>
      </c>
      <c r="E246" t="s">
        <v>3925</v>
      </c>
      <c r="F246" t="s">
        <v>3305</v>
      </c>
      <c r="G246" t="s">
        <v>3932</v>
      </c>
    </row>
    <row r="247" spans="1:7" ht="11.25" customHeight="1">
      <c r="A247" t="s">
        <v>16</v>
      </c>
      <c r="B247" t="s">
        <v>3924</v>
      </c>
      <c r="C247" t="s">
        <v>3925</v>
      </c>
      <c r="D247" t="s">
        <v>3933</v>
      </c>
      <c r="E247" t="s">
        <v>3934</v>
      </c>
      <c r="F247" t="s">
        <v>3308</v>
      </c>
      <c r="G247" t="s">
        <v>3935</v>
      </c>
    </row>
    <row r="248" spans="1:7" ht="11.25" customHeight="1">
      <c r="A248" t="s">
        <v>16</v>
      </c>
      <c r="B248" t="s">
        <v>3924</v>
      </c>
      <c r="C248" t="s">
        <v>3925</v>
      </c>
      <c r="D248" t="s">
        <v>3936</v>
      </c>
      <c r="E248" t="s">
        <v>3937</v>
      </c>
      <c r="F248" t="s">
        <v>3308</v>
      </c>
      <c r="G248" t="s">
        <v>3938</v>
      </c>
    </row>
    <row r="249" spans="1:7" ht="11.25" customHeight="1">
      <c r="A249" t="s">
        <v>16</v>
      </c>
      <c r="B249" t="s">
        <v>3924</v>
      </c>
      <c r="C249" t="s">
        <v>3925</v>
      </c>
      <c r="D249" t="s">
        <v>157</v>
      </c>
      <c r="E249" t="s">
        <v>3939</v>
      </c>
      <c r="F249" t="s">
        <v>3308</v>
      </c>
      <c r="G249" t="s">
        <v>3940</v>
      </c>
    </row>
    <row r="250" spans="1:7" ht="11.25" customHeight="1">
      <c r="A250" t="s">
        <v>16</v>
      </c>
      <c r="B250" t="s">
        <v>3924</v>
      </c>
      <c r="C250" t="s">
        <v>3925</v>
      </c>
      <c r="D250" t="s">
        <v>3941</v>
      </c>
      <c r="E250" t="s">
        <v>3942</v>
      </c>
      <c r="F250" t="s">
        <v>3308</v>
      </c>
      <c r="G250" t="s">
        <v>3943</v>
      </c>
    </row>
    <row r="251" spans="1:7" ht="11.25" customHeight="1">
      <c r="A251" t="s">
        <v>16</v>
      </c>
      <c r="B251" t="s">
        <v>3924</v>
      </c>
      <c r="C251" t="s">
        <v>3925</v>
      </c>
      <c r="D251" t="s">
        <v>3944</v>
      </c>
      <c r="E251" t="s">
        <v>3945</v>
      </c>
      <c r="F251" t="s">
        <v>3308</v>
      </c>
      <c r="G251" t="s">
        <v>3946</v>
      </c>
    </row>
    <row r="252" spans="1:7" ht="11.25" customHeight="1">
      <c r="A252" t="s">
        <v>16</v>
      </c>
      <c r="B252" t="s">
        <v>3947</v>
      </c>
      <c r="C252" t="s">
        <v>3948</v>
      </c>
      <c r="D252" t="s">
        <v>3949</v>
      </c>
      <c r="E252" t="s">
        <v>3950</v>
      </c>
      <c r="F252" t="s">
        <v>3308</v>
      </c>
      <c r="G252" t="s">
        <v>3951</v>
      </c>
    </row>
    <row r="253" spans="1:7" ht="11.25" customHeight="1">
      <c r="A253" t="s">
        <v>16</v>
      </c>
      <c r="B253" t="s">
        <v>3947</v>
      </c>
      <c r="C253" t="s">
        <v>3948</v>
      </c>
      <c r="D253" t="s">
        <v>3952</v>
      </c>
      <c r="E253" t="s">
        <v>3953</v>
      </c>
      <c r="F253" t="s">
        <v>3308</v>
      </c>
      <c r="G253" t="s">
        <v>3954</v>
      </c>
    </row>
    <row r="254" spans="1:7" ht="11.25" customHeight="1">
      <c r="A254" t="s">
        <v>16</v>
      </c>
      <c r="B254" t="s">
        <v>3947</v>
      </c>
      <c r="C254" t="s">
        <v>3948</v>
      </c>
      <c r="D254" t="s">
        <v>3955</v>
      </c>
      <c r="E254" t="s">
        <v>3956</v>
      </c>
      <c r="F254" t="s">
        <v>3308</v>
      </c>
      <c r="G254" t="s">
        <v>3957</v>
      </c>
    </row>
    <row r="255" spans="1:7" ht="11.25" customHeight="1">
      <c r="A255" t="s">
        <v>16</v>
      </c>
      <c r="B255" t="s">
        <v>3947</v>
      </c>
      <c r="C255" t="s">
        <v>3948</v>
      </c>
      <c r="D255" t="s">
        <v>3958</v>
      </c>
      <c r="E255" t="s">
        <v>3959</v>
      </c>
      <c r="F255" t="s">
        <v>3308</v>
      </c>
      <c r="G255" t="s">
        <v>3960</v>
      </c>
    </row>
    <row r="256" spans="1:7" ht="11.25" customHeight="1">
      <c r="A256" t="s">
        <v>16</v>
      </c>
      <c r="B256" t="s">
        <v>3947</v>
      </c>
      <c r="C256" t="s">
        <v>3948</v>
      </c>
      <c r="D256" t="s">
        <v>3961</v>
      </c>
      <c r="E256" t="s">
        <v>3962</v>
      </c>
      <c r="F256" t="s">
        <v>3308</v>
      </c>
      <c r="G256" t="s">
        <v>3963</v>
      </c>
    </row>
    <row r="257" spans="1:7" ht="11.25" customHeight="1">
      <c r="A257" t="s">
        <v>16</v>
      </c>
      <c r="B257" t="s">
        <v>3947</v>
      </c>
      <c r="C257" t="s">
        <v>3948</v>
      </c>
      <c r="D257" t="s">
        <v>3964</v>
      </c>
      <c r="E257" t="s">
        <v>3965</v>
      </c>
      <c r="F257" t="s">
        <v>3308</v>
      </c>
      <c r="G257" t="s">
        <v>3966</v>
      </c>
    </row>
    <row r="258" spans="1:7" ht="11.25" customHeight="1">
      <c r="A258" t="s">
        <v>16</v>
      </c>
      <c r="B258" t="s">
        <v>3947</v>
      </c>
      <c r="C258" t="s">
        <v>3948</v>
      </c>
      <c r="D258" t="s">
        <v>3947</v>
      </c>
      <c r="E258" t="s">
        <v>3948</v>
      </c>
      <c r="F258" t="s">
        <v>3305</v>
      </c>
      <c r="G258" t="s">
        <v>3967</v>
      </c>
    </row>
    <row r="259" spans="1:7" ht="11.25" customHeight="1">
      <c r="A259" t="s">
        <v>16</v>
      </c>
      <c r="B259" t="s">
        <v>3947</v>
      </c>
      <c r="C259" t="s">
        <v>3948</v>
      </c>
      <c r="D259" t="s">
        <v>3968</v>
      </c>
      <c r="E259" t="s">
        <v>3969</v>
      </c>
      <c r="F259" t="s">
        <v>3345</v>
      </c>
      <c r="G259" t="s">
        <v>3970</v>
      </c>
    </row>
    <row r="260" spans="1:7" ht="11.25" customHeight="1">
      <c r="A260" t="s">
        <v>16</v>
      </c>
      <c r="B260" t="s">
        <v>3947</v>
      </c>
      <c r="C260" t="s">
        <v>3948</v>
      </c>
      <c r="D260" t="s">
        <v>3971</v>
      </c>
      <c r="E260" t="s">
        <v>3972</v>
      </c>
      <c r="F260" t="s">
        <v>3308</v>
      </c>
      <c r="G260" t="s">
        <v>3973</v>
      </c>
    </row>
    <row r="261" spans="1:7" ht="11.25" customHeight="1">
      <c r="A261" t="s">
        <v>16</v>
      </c>
      <c r="B261" t="s">
        <v>3947</v>
      </c>
      <c r="C261" t="s">
        <v>3948</v>
      </c>
      <c r="D261" t="s">
        <v>3974</v>
      </c>
      <c r="E261" t="s">
        <v>3975</v>
      </c>
      <c r="F261" t="s">
        <v>3308</v>
      </c>
      <c r="G261" t="s">
        <v>3976</v>
      </c>
    </row>
    <row r="262" spans="1:7" ht="11.25" customHeight="1">
      <c r="A262" t="s">
        <v>16</v>
      </c>
      <c r="B262" t="s">
        <v>3977</v>
      </c>
      <c r="C262" t="s">
        <v>3978</v>
      </c>
      <c r="D262" t="s">
        <v>3979</v>
      </c>
      <c r="E262" t="s">
        <v>3980</v>
      </c>
      <c r="F262" t="s">
        <v>3308</v>
      </c>
      <c r="G262" t="s">
        <v>3981</v>
      </c>
    </row>
    <row r="263" spans="1:7" ht="11.25" customHeight="1">
      <c r="A263" t="s">
        <v>16</v>
      </c>
      <c r="B263" t="s">
        <v>3977</v>
      </c>
      <c r="C263" t="s">
        <v>3978</v>
      </c>
      <c r="D263" t="s">
        <v>3662</v>
      </c>
      <c r="E263" t="s">
        <v>3982</v>
      </c>
      <c r="F263" t="s">
        <v>3308</v>
      </c>
      <c r="G263" t="s">
        <v>3983</v>
      </c>
    </row>
    <row r="264" spans="1:7" ht="11.25" customHeight="1">
      <c r="A264" t="s">
        <v>16</v>
      </c>
      <c r="B264" t="s">
        <v>3977</v>
      </c>
      <c r="C264" t="s">
        <v>3978</v>
      </c>
      <c r="D264" t="s">
        <v>3984</v>
      </c>
      <c r="E264" t="s">
        <v>3985</v>
      </c>
      <c r="F264" t="s">
        <v>3308</v>
      </c>
      <c r="G264" t="s">
        <v>3986</v>
      </c>
    </row>
    <row r="265" spans="1:7" ht="11.25" customHeight="1">
      <c r="A265" t="s">
        <v>16</v>
      </c>
      <c r="B265" t="s">
        <v>3977</v>
      </c>
      <c r="C265" t="s">
        <v>3978</v>
      </c>
      <c r="D265" t="s">
        <v>3987</v>
      </c>
      <c r="E265" t="s">
        <v>3988</v>
      </c>
      <c r="F265" t="s">
        <v>3308</v>
      </c>
      <c r="G265" t="s">
        <v>3989</v>
      </c>
    </row>
    <row r="266" spans="1:7" ht="11.25" customHeight="1">
      <c r="A266" t="s">
        <v>16</v>
      </c>
      <c r="B266" t="s">
        <v>3977</v>
      </c>
      <c r="C266" t="s">
        <v>3978</v>
      </c>
      <c r="D266" t="s">
        <v>3977</v>
      </c>
      <c r="E266" t="s">
        <v>3978</v>
      </c>
      <c r="F266" t="s">
        <v>3305</v>
      </c>
      <c r="G266" t="s">
        <v>3990</v>
      </c>
    </row>
    <row r="267" spans="1:7" ht="11.25" customHeight="1">
      <c r="A267" t="s">
        <v>16</v>
      </c>
      <c r="B267" t="s">
        <v>3977</v>
      </c>
      <c r="C267" t="s">
        <v>3978</v>
      </c>
      <c r="D267" t="s">
        <v>3991</v>
      </c>
      <c r="E267" t="s">
        <v>3992</v>
      </c>
      <c r="F267" t="s">
        <v>3308</v>
      </c>
      <c r="G267" t="s">
        <v>3993</v>
      </c>
    </row>
    <row r="268" spans="1:7" ht="11.25" customHeight="1">
      <c r="A268" t="s">
        <v>16</v>
      </c>
      <c r="B268" t="s">
        <v>3977</v>
      </c>
      <c r="C268" t="s">
        <v>3978</v>
      </c>
      <c r="D268" t="s">
        <v>3994</v>
      </c>
      <c r="E268" t="s">
        <v>3995</v>
      </c>
      <c r="F268" t="s">
        <v>3308</v>
      </c>
      <c r="G268" t="s">
        <v>3996</v>
      </c>
    </row>
    <row r="269" spans="1:7" ht="11.25" customHeight="1">
      <c r="A269" t="s">
        <v>16</v>
      </c>
      <c r="B269" t="s">
        <v>3977</v>
      </c>
      <c r="C269" t="s">
        <v>3978</v>
      </c>
      <c r="D269" t="s">
        <v>3997</v>
      </c>
      <c r="E269" t="s">
        <v>3998</v>
      </c>
      <c r="F269" t="s">
        <v>3308</v>
      </c>
      <c r="G269" t="s">
        <v>3999</v>
      </c>
    </row>
    <row r="270" spans="1:7" ht="11.25" customHeight="1">
      <c r="A270" t="s">
        <v>16</v>
      </c>
      <c r="B270" t="s">
        <v>4000</v>
      </c>
      <c r="C270" t="s">
        <v>4001</v>
      </c>
      <c r="D270" t="s">
        <v>4002</v>
      </c>
      <c r="E270" t="s">
        <v>4003</v>
      </c>
      <c r="F270" t="s">
        <v>3308</v>
      </c>
      <c r="G270" t="s">
        <v>4004</v>
      </c>
    </row>
    <row r="271" spans="1:7" ht="11.25" customHeight="1">
      <c r="A271" t="s">
        <v>16</v>
      </c>
      <c r="B271" t="s">
        <v>4000</v>
      </c>
      <c r="C271" t="s">
        <v>4001</v>
      </c>
      <c r="D271" t="s">
        <v>4005</v>
      </c>
      <c r="E271" t="s">
        <v>4006</v>
      </c>
      <c r="F271" t="s">
        <v>3308</v>
      </c>
      <c r="G271" t="s">
        <v>4007</v>
      </c>
    </row>
    <row r="272" spans="1:7" ht="11.25" customHeight="1">
      <c r="A272" t="s">
        <v>16</v>
      </c>
      <c r="B272" t="s">
        <v>4000</v>
      </c>
      <c r="C272" t="s">
        <v>4001</v>
      </c>
      <c r="D272" t="s">
        <v>4008</v>
      </c>
      <c r="E272" t="s">
        <v>4009</v>
      </c>
      <c r="F272" t="s">
        <v>3308</v>
      </c>
      <c r="G272" t="s">
        <v>4010</v>
      </c>
    </row>
    <row r="273" spans="1:7" ht="11.25" customHeight="1">
      <c r="A273" t="s">
        <v>16</v>
      </c>
      <c r="B273" t="s">
        <v>4000</v>
      </c>
      <c r="C273" t="s">
        <v>4001</v>
      </c>
      <c r="D273" t="s">
        <v>4011</v>
      </c>
      <c r="E273" t="s">
        <v>4012</v>
      </c>
      <c r="F273" t="s">
        <v>3308</v>
      </c>
      <c r="G273" t="s">
        <v>4013</v>
      </c>
    </row>
    <row r="274" spans="1:7" ht="11.25" customHeight="1">
      <c r="A274" t="s">
        <v>16</v>
      </c>
      <c r="B274" t="s">
        <v>4000</v>
      </c>
      <c r="C274" t="s">
        <v>4001</v>
      </c>
      <c r="D274" t="s">
        <v>4014</v>
      </c>
      <c r="E274" t="s">
        <v>4015</v>
      </c>
      <c r="F274" t="s">
        <v>3308</v>
      </c>
      <c r="G274" t="s">
        <v>4016</v>
      </c>
    </row>
    <row r="275" spans="1:7" ht="11.25" customHeight="1">
      <c r="A275" t="s">
        <v>16</v>
      </c>
      <c r="B275" t="s">
        <v>4000</v>
      </c>
      <c r="C275" t="s">
        <v>4001</v>
      </c>
      <c r="D275" t="s">
        <v>4017</v>
      </c>
      <c r="E275" t="s">
        <v>4018</v>
      </c>
      <c r="F275" t="s">
        <v>3308</v>
      </c>
      <c r="G275" t="s">
        <v>4019</v>
      </c>
    </row>
    <row r="276" spans="1:7" ht="11.25" customHeight="1">
      <c r="A276" t="s">
        <v>16</v>
      </c>
      <c r="B276" t="s">
        <v>4000</v>
      </c>
      <c r="C276" t="s">
        <v>4001</v>
      </c>
      <c r="D276" t="s">
        <v>4000</v>
      </c>
      <c r="E276" t="s">
        <v>4001</v>
      </c>
      <c r="F276" t="s">
        <v>3305</v>
      </c>
      <c r="G276" t="s">
        <v>4020</v>
      </c>
    </row>
    <row r="277" spans="1:7" ht="11.25" customHeight="1">
      <c r="A277" t="s">
        <v>16</v>
      </c>
      <c r="B277" t="s">
        <v>4000</v>
      </c>
      <c r="C277" t="s">
        <v>4001</v>
      </c>
      <c r="D277" t="s">
        <v>3763</v>
      </c>
      <c r="E277" t="s">
        <v>4021</v>
      </c>
      <c r="F277" t="s">
        <v>3308</v>
      </c>
      <c r="G277" t="s">
        <v>4022</v>
      </c>
    </row>
    <row r="278" spans="1:7" ht="11.25" customHeight="1">
      <c r="A278" t="s">
        <v>16</v>
      </c>
      <c r="B278" t="s">
        <v>4000</v>
      </c>
      <c r="C278" t="s">
        <v>4001</v>
      </c>
      <c r="D278" t="s">
        <v>4023</v>
      </c>
      <c r="E278" t="s">
        <v>4024</v>
      </c>
      <c r="F278" t="s">
        <v>3308</v>
      </c>
      <c r="G278" t="s">
        <v>4025</v>
      </c>
    </row>
    <row r="279" spans="1:7" ht="11.25" customHeight="1">
      <c r="A279" t="s">
        <v>16</v>
      </c>
      <c r="B279" t="s">
        <v>4000</v>
      </c>
      <c r="C279" t="s">
        <v>4001</v>
      </c>
      <c r="D279" t="s">
        <v>4026</v>
      </c>
      <c r="E279" t="s">
        <v>4027</v>
      </c>
      <c r="F279" t="s">
        <v>3308</v>
      </c>
      <c r="G279" t="s">
        <v>4028</v>
      </c>
    </row>
    <row r="280" spans="1:7" ht="11.25" customHeight="1">
      <c r="A280" t="s">
        <v>16</v>
      </c>
      <c r="B280" t="s">
        <v>4000</v>
      </c>
      <c r="C280" t="s">
        <v>4001</v>
      </c>
      <c r="D280" t="s">
        <v>4029</v>
      </c>
      <c r="E280" t="s">
        <v>4030</v>
      </c>
      <c r="F280" t="s">
        <v>3308</v>
      </c>
      <c r="G280" t="s">
        <v>4031</v>
      </c>
    </row>
    <row r="281" spans="1:7" ht="11.25" customHeight="1">
      <c r="A281" t="s">
        <v>16</v>
      </c>
      <c r="B281" t="s">
        <v>4000</v>
      </c>
      <c r="C281" t="s">
        <v>4001</v>
      </c>
      <c r="D281" t="s">
        <v>4032</v>
      </c>
      <c r="E281" t="s">
        <v>4033</v>
      </c>
      <c r="F281" t="s">
        <v>3308</v>
      </c>
      <c r="G281" t="s">
        <v>4034</v>
      </c>
    </row>
    <row r="282" spans="1:7" ht="11.25" customHeight="1">
      <c r="A282" t="s">
        <v>16</v>
      </c>
      <c r="B282" t="s">
        <v>4000</v>
      </c>
      <c r="C282" t="s">
        <v>4001</v>
      </c>
      <c r="D282" t="s">
        <v>4035</v>
      </c>
      <c r="E282" t="s">
        <v>4036</v>
      </c>
      <c r="F282" t="s">
        <v>3308</v>
      </c>
      <c r="G282" t="s">
        <v>4037</v>
      </c>
    </row>
    <row r="283" spans="1:7" ht="11.25" customHeight="1">
      <c r="A283" t="s">
        <v>16</v>
      </c>
      <c r="B283" t="s">
        <v>4000</v>
      </c>
      <c r="C283" t="s">
        <v>4001</v>
      </c>
      <c r="D283" t="s">
        <v>4038</v>
      </c>
      <c r="E283" t="s">
        <v>4039</v>
      </c>
      <c r="F283" t="s">
        <v>3308</v>
      </c>
      <c r="G283" t="s">
        <v>4040</v>
      </c>
    </row>
    <row r="284" spans="1:7" ht="11.25" customHeight="1">
      <c r="A284" t="s">
        <v>16</v>
      </c>
      <c r="B284" t="s">
        <v>4000</v>
      </c>
      <c r="C284" t="s">
        <v>4001</v>
      </c>
      <c r="D284" t="s">
        <v>4041</v>
      </c>
      <c r="E284" t="s">
        <v>4042</v>
      </c>
      <c r="F284" t="s">
        <v>3308</v>
      </c>
      <c r="G284" t="s">
        <v>4043</v>
      </c>
    </row>
    <row r="285" spans="1:7" ht="11.25" customHeight="1">
      <c r="A285" t="s">
        <v>16</v>
      </c>
      <c r="B285" t="s">
        <v>4000</v>
      </c>
      <c r="C285" t="s">
        <v>4001</v>
      </c>
      <c r="D285" t="s">
        <v>4044</v>
      </c>
      <c r="E285" t="s">
        <v>4045</v>
      </c>
      <c r="F285" t="s">
        <v>3308</v>
      </c>
      <c r="G285" t="s">
        <v>4046</v>
      </c>
    </row>
    <row r="286" spans="1:7" ht="11.25" customHeight="1">
      <c r="A286" t="s">
        <v>16</v>
      </c>
      <c r="B286" t="s">
        <v>4000</v>
      </c>
      <c r="C286" t="s">
        <v>4001</v>
      </c>
      <c r="D286" t="s">
        <v>4047</v>
      </c>
      <c r="E286" t="s">
        <v>4048</v>
      </c>
      <c r="F286" t="s">
        <v>3308</v>
      </c>
      <c r="G286" t="s">
        <v>4049</v>
      </c>
    </row>
    <row r="287" spans="1:7" ht="11.25" customHeight="1">
      <c r="A287" t="s">
        <v>16</v>
      </c>
      <c r="B287" t="s">
        <v>4000</v>
      </c>
      <c r="C287" t="s">
        <v>4001</v>
      </c>
      <c r="D287" t="s">
        <v>4050</v>
      </c>
      <c r="E287" t="s">
        <v>4051</v>
      </c>
      <c r="F287" t="s">
        <v>3308</v>
      </c>
      <c r="G287" t="s">
        <v>4052</v>
      </c>
    </row>
    <row r="288" spans="1:7" ht="11.25" customHeight="1">
      <c r="A288" t="s">
        <v>16</v>
      </c>
      <c r="B288" t="s">
        <v>4000</v>
      </c>
      <c r="C288" t="s">
        <v>4001</v>
      </c>
      <c r="D288" t="s">
        <v>4053</v>
      </c>
      <c r="E288" t="s">
        <v>4054</v>
      </c>
      <c r="F288" t="s">
        <v>3308</v>
      </c>
      <c r="G288" t="s">
        <v>4055</v>
      </c>
    </row>
    <row r="289" spans="1:7" ht="11.25" customHeight="1">
      <c r="A289" t="s">
        <v>16</v>
      </c>
      <c r="B289" t="s">
        <v>4056</v>
      </c>
      <c r="C289" t="s">
        <v>4057</v>
      </c>
      <c r="D289" t="s">
        <v>3306</v>
      </c>
      <c r="E289" t="s">
        <v>4058</v>
      </c>
      <c r="F289" t="s">
        <v>3308</v>
      </c>
      <c r="G289" t="s">
        <v>4059</v>
      </c>
    </row>
    <row r="290" spans="1:7" ht="11.25" customHeight="1">
      <c r="A290" t="s">
        <v>16</v>
      </c>
      <c r="B290" t="s">
        <v>4056</v>
      </c>
      <c r="C290" t="s">
        <v>4057</v>
      </c>
      <c r="D290" t="s">
        <v>3862</v>
      </c>
      <c r="E290" t="s">
        <v>4060</v>
      </c>
      <c r="F290" t="s">
        <v>3308</v>
      </c>
      <c r="G290" t="s">
        <v>4061</v>
      </c>
    </row>
    <row r="291" spans="1:7" ht="11.25" customHeight="1">
      <c r="A291" t="s">
        <v>16</v>
      </c>
      <c r="B291" t="s">
        <v>4056</v>
      </c>
      <c r="C291" t="s">
        <v>4057</v>
      </c>
      <c r="D291" t="s">
        <v>4062</v>
      </c>
      <c r="E291" t="s">
        <v>4063</v>
      </c>
      <c r="F291" t="s">
        <v>3308</v>
      </c>
      <c r="G291" t="s">
        <v>4064</v>
      </c>
    </row>
    <row r="292" spans="1:7" ht="11.25" customHeight="1">
      <c r="A292" t="s">
        <v>16</v>
      </c>
      <c r="B292" t="s">
        <v>4056</v>
      </c>
      <c r="C292" t="s">
        <v>4057</v>
      </c>
      <c r="D292" t="s">
        <v>4065</v>
      </c>
      <c r="E292" t="s">
        <v>4066</v>
      </c>
      <c r="F292" t="s">
        <v>3308</v>
      </c>
      <c r="G292" t="s">
        <v>4067</v>
      </c>
    </row>
    <row r="293" spans="1:7" ht="11.25" customHeight="1">
      <c r="A293" t="s">
        <v>16</v>
      </c>
      <c r="B293" t="s">
        <v>4056</v>
      </c>
      <c r="C293" t="s">
        <v>4057</v>
      </c>
      <c r="D293" t="s">
        <v>4068</v>
      </c>
      <c r="E293" t="s">
        <v>4069</v>
      </c>
      <c r="F293" t="s">
        <v>3308</v>
      </c>
      <c r="G293" t="s">
        <v>4070</v>
      </c>
    </row>
    <row r="294" spans="1:7" ht="11.25" customHeight="1">
      <c r="A294" t="s">
        <v>16</v>
      </c>
      <c r="B294" t="s">
        <v>4056</v>
      </c>
      <c r="C294" t="s">
        <v>4057</v>
      </c>
      <c r="D294" t="s">
        <v>4056</v>
      </c>
      <c r="E294" t="s">
        <v>4057</v>
      </c>
      <c r="F294" t="s">
        <v>3305</v>
      </c>
      <c r="G294" t="s">
        <v>4071</v>
      </c>
    </row>
    <row r="295" spans="1:7" ht="11.25" customHeight="1">
      <c r="A295" t="s">
        <v>16</v>
      </c>
      <c r="B295" t="s">
        <v>4056</v>
      </c>
      <c r="C295" t="s">
        <v>4057</v>
      </c>
      <c r="D295" t="s">
        <v>4072</v>
      </c>
      <c r="E295" t="s">
        <v>4073</v>
      </c>
      <c r="F295" t="s">
        <v>3308</v>
      </c>
      <c r="G295" t="s">
        <v>4074</v>
      </c>
    </row>
    <row r="296" spans="1:7" ht="11.25" customHeight="1">
      <c r="A296" t="s">
        <v>16</v>
      </c>
      <c r="B296" t="s">
        <v>4056</v>
      </c>
      <c r="C296" t="s">
        <v>4057</v>
      </c>
      <c r="D296" t="s">
        <v>4075</v>
      </c>
      <c r="E296" t="s">
        <v>4076</v>
      </c>
      <c r="F296" t="s">
        <v>3308</v>
      </c>
      <c r="G296" t="s">
        <v>4077</v>
      </c>
    </row>
    <row r="297" spans="1:7" ht="11.25" customHeight="1">
      <c r="A297" t="s">
        <v>16</v>
      </c>
      <c r="B297" t="s">
        <v>4078</v>
      </c>
      <c r="C297" t="s">
        <v>4079</v>
      </c>
      <c r="D297" t="s">
        <v>3862</v>
      </c>
      <c r="E297" t="s">
        <v>4080</v>
      </c>
      <c r="F297" t="s">
        <v>3308</v>
      </c>
      <c r="G297" t="s">
        <v>4081</v>
      </c>
    </row>
    <row r="298" spans="1:7" ht="11.25" customHeight="1">
      <c r="A298" t="s">
        <v>16</v>
      </c>
      <c r="B298" t="s">
        <v>4078</v>
      </c>
      <c r="C298" t="s">
        <v>4079</v>
      </c>
      <c r="D298" t="s">
        <v>4082</v>
      </c>
      <c r="E298" t="s">
        <v>4083</v>
      </c>
      <c r="F298" t="s">
        <v>3308</v>
      </c>
      <c r="G298" t="s">
        <v>4084</v>
      </c>
    </row>
    <row r="299" spans="1:7" ht="11.25" customHeight="1">
      <c r="A299" t="s">
        <v>16</v>
      </c>
      <c r="B299" t="s">
        <v>4078</v>
      </c>
      <c r="C299" t="s">
        <v>4079</v>
      </c>
      <c r="D299" t="s">
        <v>4085</v>
      </c>
      <c r="E299" t="s">
        <v>4086</v>
      </c>
      <c r="F299" t="s">
        <v>3308</v>
      </c>
      <c r="G299" t="s">
        <v>4087</v>
      </c>
    </row>
    <row r="300" spans="1:7" ht="11.25" customHeight="1">
      <c r="A300" t="s">
        <v>16</v>
      </c>
      <c r="B300" t="s">
        <v>4078</v>
      </c>
      <c r="C300" t="s">
        <v>4079</v>
      </c>
      <c r="D300" t="s">
        <v>4088</v>
      </c>
      <c r="E300" t="s">
        <v>4089</v>
      </c>
      <c r="F300" t="s">
        <v>3688</v>
      </c>
      <c r="G300" t="s">
        <v>4090</v>
      </c>
    </row>
    <row r="301" spans="1:7" ht="11.25" customHeight="1">
      <c r="A301" t="s">
        <v>16</v>
      </c>
      <c r="B301" t="s">
        <v>4078</v>
      </c>
      <c r="C301" t="s">
        <v>4079</v>
      </c>
      <c r="D301" t="s">
        <v>4091</v>
      </c>
      <c r="E301" t="s">
        <v>4092</v>
      </c>
      <c r="F301" t="s">
        <v>3308</v>
      </c>
      <c r="G301" t="s">
        <v>4093</v>
      </c>
    </row>
    <row r="302" spans="1:7" ht="11.25" customHeight="1">
      <c r="A302" t="s">
        <v>16</v>
      </c>
      <c r="B302" t="s">
        <v>4078</v>
      </c>
      <c r="C302" t="s">
        <v>4079</v>
      </c>
      <c r="D302" t="s">
        <v>4094</v>
      </c>
      <c r="E302" t="s">
        <v>4095</v>
      </c>
      <c r="F302" t="s">
        <v>3308</v>
      </c>
      <c r="G302" t="s">
        <v>4096</v>
      </c>
    </row>
    <row r="303" spans="1:7" ht="11.25" customHeight="1">
      <c r="A303" t="s">
        <v>16</v>
      </c>
      <c r="B303" t="s">
        <v>4078</v>
      </c>
      <c r="C303" t="s">
        <v>4079</v>
      </c>
      <c r="D303" t="s">
        <v>3413</v>
      </c>
      <c r="E303" t="s">
        <v>4097</v>
      </c>
      <c r="F303" t="s">
        <v>3308</v>
      </c>
      <c r="G303" t="s">
        <v>4098</v>
      </c>
    </row>
    <row r="304" spans="1:7" ht="11.25" customHeight="1">
      <c r="A304" t="s">
        <v>16</v>
      </c>
      <c r="B304" t="s">
        <v>4078</v>
      </c>
      <c r="C304" t="s">
        <v>4079</v>
      </c>
      <c r="D304" t="s">
        <v>4099</v>
      </c>
      <c r="E304" t="s">
        <v>4100</v>
      </c>
      <c r="F304" t="s">
        <v>3308</v>
      </c>
      <c r="G304" t="s">
        <v>4101</v>
      </c>
    </row>
    <row r="305" spans="1:7" ht="11.25" customHeight="1">
      <c r="A305" t="s">
        <v>16</v>
      </c>
      <c r="B305" t="s">
        <v>4078</v>
      </c>
      <c r="C305" t="s">
        <v>4079</v>
      </c>
      <c r="D305" t="s">
        <v>4102</v>
      </c>
      <c r="E305" t="s">
        <v>4103</v>
      </c>
      <c r="F305" t="s">
        <v>3308</v>
      </c>
      <c r="G305" t="s">
        <v>4104</v>
      </c>
    </row>
    <row r="306" spans="1:7" ht="11.25" customHeight="1">
      <c r="A306" t="s">
        <v>16</v>
      </c>
      <c r="B306" t="s">
        <v>4078</v>
      </c>
      <c r="C306" t="s">
        <v>4079</v>
      </c>
      <c r="D306" t="s">
        <v>4105</v>
      </c>
      <c r="E306" t="s">
        <v>4106</v>
      </c>
      <c r="F306" t="s">
        <v>3308</v>
      </c>
      <c r="G306" t="s">
        <v>4107</v>
      </c>
    </row>
    <row r="307" spans="1:7" ht="11.25" customHeight="1">
      <c r="A307" t="s">
        <v>16</v>
      </c>
      <c r="B307" t="s">
        <v>4078</v>
      </c>
      <c r="C307" t="s">
        <v>4079</v>
      </c>
      <c r="D307" t="s">
        <v>4108</v>
      </c>
      <c r="E307" t="s">
        <v>4109</v>
      </c>
      <c r="F307" t="s">
        <v>3308</v>
      </c>
      <c r="G307" t="s">
        <v>4110</v>
      </c>
    </row>
    <row r="308" spans="1:7" ht="11.25" customHeight="1">
      <c r="A308" t="s">
        <v>16</v>
      </c>
      <c r="B308" t="s">
        <v>4078</v>
      </c>
      <c r="C308" t="s">
        <v>4079</v>
      </c>
      <c r="D308" t="s">
        <v>4078</v>
      </c>
      <c r="E308" t="s">
        <v>4079</v>
      </c>
      <c r="F308" t="s">
        <v>3305</v>
      </c>
      <c r="G308" t="s">
        <v>4111</v>
      </c>
    </row>
    <row r="309" spans="1:7" ht="11.25" customHeight="1">
      <c r="A309" t="s">
        <v>16</v>
      </c>
      <c r="B309" t="s">
        <v>4078</v>
      </c>
      <c r="C309" t="s">
        <v>4079</v>
      </c>
      <c r="D309" t="s">
        <v>4112</v>
      </c>
      <c r="E309" t="s">
        <v>4113</v>
      </c>
      <c r="F309" t="s">
        <v>3308</v>
      </c>
      <c r="G309" t="s">
        <v>4114</v>
      </c>
    </row>
    <row r="310" spans="1:7" ht="11.25" customHeight="1">
      <c r="A310" t="s">
        <v>16</v>
      </c>
      <c r="B310" t="s">
        <v>156</v>
      </c>
      <c r="C310" t="s">
        <v>4115</v>
      </c>
      <c r="D310" t="s">
        <v>4116</v>
      </c>
      <c r="E310" t="s">
        <v>4117</v>
      </c>
      <c r="F310" t="s">
        <v>3308</v>
      </c>
      <c r="G310" t="s">
        <v>4118</v>
      </c>
    </row>
    <row r="311" spans="1:7" ht="11.25" customHeight="1">
      <c r="A311" t="s">
        <v>16</v>
      </c>
      <c r="B311" t="s">
        <v>156</v>
      </c>
      <c r="C311" t="s">
        <v>4115</v>
      </c>
      <c r="D311" t="s">
        <v>3602</v>
      </c>
      <c r="E311" t="s">
        <v>4119</v>
      </c>
      <c r="F311" t="s">
        <v>3308</v>
      </c>
      <c r="G311" t="s">
        <v>4120</v>
      </c>
    </row>
    <row r="312" spans="1:7" ht="11.25" customHeight="1">
      <c r="A312" t="s">
        <v>16</v>
      </c>
      <c r="B312" t="s">
        <v>156</v>
      </c>
      <c r="C312" t="s">
        <v>4115</v>
      </c>
      <c r="D312" t="s">
        <v>4121</v>
      </c>
      <c r="E312" t="s">
        <v>4122</v>
      </c>
      <c r="F312" t="s">
        <v>3308</v>
      </c>
      <c r="G312" t="s">
        <v>4123</v>
      </c>
    </row>
    <row r="313" spans="1:7" ht="11.25" customHeight="1">
      <c r="A313" t="s">
        <v>16</v>
      </c>
      <c r="B313" t="s">
        <v>156</v>
      </c>
      <c r="C313" t="s">
        <v>4115</v>
      </c>
      <c r="D313" t="s">
        <v>3634</v>
      </c>
      <c r="E313" t="s">
        <v>4124</v>
      </c>
      <c r="F313" t="s">
        <v>3308</v>
      </c>
      <c r="G313" t="s">
        <v>4125</v>
      </c>
    </row>
    <row r="314" spans="1:7" ht="11.25" customHeight="1">
      <c r="A314" t="s">
        <v>16</v>
      </c>
      <c r="B314" t="s">
        <v>156</v>
      </c>
      <c r="C314" t="s">
        <v>4115</v>
      </c>
      <c r="D314" t="s">
        <v>3612</v>
      </c>
      <c r="E314" t="s">
        <v>4126</v>
      </c>
      <c r="F314" t="s">
        <v>3308</v>
      </c>
      <c r="G314" t="s">
        <v>4127</v>
      </c>
    </row>
    <row r="315" spans="1:7" ht="11.25" customHeight="1">
      <c r="A315" t="s">
        <v>16</v>
      </c>
      <c r="B315" t="s">
        <v>156</v>
      </c>
      <c r="C315" t="s">
        <v>4115</v>
      </c>
      <c r="D315" t="s">
        <v>4128</v>
      </c>
      <c r="E315" t="s">
        <v>4129</v>
      </c>
      <c r="F315" t="s">
        <v>3308</v>
      </c>
      <c r="G315" t="s">
        <v>4130</v>
      </c>
    </row>
    <row r="316" spans="1:7" ht="11.25" customHeight="1">
      <c r="A316" t="s">
        <v>16</v>
      </c>
      <c r="B316" t="s">
        <v>156</v>
      </c>
      <c r="C316" t="s">
        <v>4115</v>
      </c>
      <c r="D316" t="s">
        <v>4131</v>
      </c>
      <c r="E316" t="s">
        <v>4132</v>
      </c>
      <c r="F316" t="s">
        <v>3308</v>
      </c>
      <c r="G316" t="s">
        <v>4133</v>
      </c>
    </row>
    <row r="317" spans="1:7" ht="11.25" customHeight="1">
      <c r="A317" t="s">
        <v>16</v>
      </c>
      <c r="B317" t="s">
        <v>156</v>
      </c>
      <c r="C317" t="s">
        <v>4115</v>
      </c>
      <c r="D317" t="s">
        <v>4134</v>
      </c>
      <c r="E317" t="s">
        <v>4135</v>
      </c>
      <c r="F317" t="s">
        <v>3308</v>
      </c>
      <c r="G317" t="s">
        <v>4136</v>
      </c>
    </row>
    <row r="318" spans="1:7" ht="11.25" customHeight="1">
      <c r="A318" t="s">
        <v>16</v>
      </c>
      <c r="B318" t="s">
        <v>156</v>
      </c>
      <c r="C318" t="s">
        <v>4115</v>
      </c>
      <c r="D318" t="s">
        <v>156</v>
      </c>
      <c r="E318" t="s">
        <v>4115</v>
      </c>
      <c r="F318" t="s">
        <v>3305</v>
      </c>
      <c r="G318" t="s">
        <v>4137</v>
      </c>
    </row>
    <row r="319" spans="1:7" ht="11.25" customHeight="1">
      <c r="A319" t="s">
        <v>16</v>
      </c>
      <c r="B319" t="s">
        <v>156</v>
      </c>
      <c r="C319" t="s">
        <v>4115</v>
      </c>
      <c r="D319" t="s">
        <v>4138</v>
      </c>
      <c r="E319" t="s">
        <v>4139</v>
      </c>
      <c r="F319" t="s">
        <v>3308</v>
      </c>
      <c r="G319" t="s">
        <v>4140</v>
      </c>
    </row>
    <row r="320" spans="1:7" ht="11.25" customHeight="1">
      <c r="A320" t="s">
        <v>16</v>
      </c>
      <c r="B320" t="s">
        <v>156</v>
      </c>
      <c r="C320" t="s">
        <v>4115</v>
      </c>
      <c r="D320" t="s">
        <v>3803</v>
      </c>
      <c r="E320" t="s">
        <v>4141</v>
      </c>
      <c r="F320" t="s">
        <v>3308</v>
      </c>
      <c r="G320" t="s">
        <v>4142</v>
      </c>
    </row>
    <row r="321" spans="1:7" ht="11.25" customHeight="1">
      <c r="A321" t="s">
        <v>16</v>
      </c>
      <c r="B321" t="s">
        <v>137</v>
      </c>
      <c r="C321" t="s">
        <v>4143</v>
      </c>
      <c r="D321" t="s">
        <v>4144</v>
      </c>
      <c r="E321" t="s">
        <v>4145</v>
      </c>
      <c r="F321" t="s">
        <v>3308</v>
      </c>
      <c r="G321" t="s">
        <v>4146</v>
      </c>
    </row>
    <row r="322" spans="1:7" ht="11.25" customHeight="1">
      <c r="A322" t="s">
        <v>16</v>
      </c>
      <c r="B322" t="s">
        <v>137</v>
      </c>
      <c r="C322" t="s">
        <v>4143</v>
      </c>
      <c r="D322" t="s">
        <v>3522</v>
      </c>
      <c r="E322" t="s">
        <v>4147</v>
      </c>
      <c r="F322" t="s">
        <v>3308</v>
      </c>
      <c r="G322" t="s">
        <v>4148</v>
      </c>
    </row>
    <row r="323" spans="1:7" ht="11.25" customHeight="1">
      <c r="A323" t="s">
        <v>16</v>
      </c>
      <c r="B323" t="s">
        <v>137</v>
      </c>
      <c r="C323" t="s">
        <v>4143</v>
      </c>
      <c r="D323" t="s">
        <v>4149</v>
      </c>
      <c r="E323" t="s">
        <v>4150</v>
      </c>
      <c r="F323" t="s">
        <v>3308</v>
      </c>
      <c r="G323" t="s">
        <v>4151</v>
      </c>
    </row>
    <row r="324" spans="1:7" ht="11.25" customHeight="1">
      <c r="A324" t="s">
        <v>16</v>
      </c>
      <c r="B324" t="s">
        <v>137</v>
      </c>
      <c r="C324" t="s">
        <v>4143</v>
      </c>
      <c r="D324" t="s">
        <v>4152</v>
      </c>
      <c r="E324" t="s">
        <v>4153</v>
      </c>
      <c r="F324" t="s">
        <v>3308</v>
      </c>
      <c r="G324" t="s">
        <v>4154</v>
      </c>
    </row>
    <row r="325" spans="1:7" ht="11.25" customHeight="1">
      <c r="A325" t="s">
        <v>16</v>
      </c>
      <c r="B325" t="s">
        <v>137</v>
      </c>
      <c r="C325" t="s">
        <v>4143</v>
      </c>
      <c r="D325" t="s">
        <v>4155</v>
      </c>
      <c r="E325" t="s">
        <v>4156</v>
      </c>
      <c r="F325" t="s">
        <v>3308</v>
      </c>
      <c r="G325" t="s">
        <v>4157</v>
      </c>
    </row>
    <row r="326" spans="1:7" ht="11.25" customHeight="1">
      <c r="A326" t="s">
        <v>16</v>
      </c>
      <c r="B326" t="s">
        <v>137</v>
      </c>
      <c r="C326" t="s">
        <v>4143</v>
      </c>
      <c r="D326" t="s">
        <v>137</v>
      </c>
      <c r="E326" t="s">
        <v>4143</v>
      </c>
      <c r="F326" t="s">
        <v>3305</v>
      </c>
      <c r="G326" t="s">
        <v>4158</v>
      </c>
    </row>
    <row r="327" spans="1:7" ht="11.25" customHeight="1">
      <c r="A327" t="s">
        <v>16</v>
      </c>
      <c r="B327" t="s">
        <v>137</v>
      </c>
      <c r="C327" t="s">
        <v>4143</v>
      </c>
      <c r="D327" t="s">
        <v>138</v>
      </c>
      <c r="E327" t="s">
        <v>139</v>
      </c>
      <c r="F327" t="s">
        <v>3308</v>
      </c>
      <c r="G327" t="s">
        <v>136</v>
      </c>
    </row>
    <row r="328" spans="1:7" ht="11.25" customHeight="1">
      <c r="A328" t="s">
        <v>16</v>
      </c>
      <c r="B328" t="s">
        <v>137</v>
      </c>
      <c r="C328" t="s">
        <v>4143</v>
      </c>
      <c r="D328" t="s">
        <v>4159</v>
      </c>
      <c r="E328" t="s">
        <v>4160</v>
      </c>
      <c r="F328" t="s">
        <v>3308</v>
      </c>
      <c r="G328" t="s">
        <v>4161</v>
      </c>
    </row>
    <row r="329" spans="1:7" ht="11.25" customHeight="1">
      <c r="A329" t="s">
        <v>16</v>
      </c>
      <c r="B329" t="s">
        <v>137</v>
      </c>
      <c r="C329" t="s">
        <v>4143</v>
      </c>
      <c r="D329" t="s">
        <v>4162</v>
      </c>
      <c r="E329" t="s">
        <v>4163</v>
      </c>
      <c r="F329" t="s">
        <v>3308</v>
      </c>
      <c r="G329" t="s">
        <v>4164</v>
      </c>
    </row>
    <row r="330" spans="1:7" ht="11.25" customHeight="1">
      <c r="A330" t="s">
        <v>16</v>
      </c>
      <c r="B330" t="s">
        <v>137</v>
      </c>
      <c r="C330" t="s">
        <v>4143</v>
      </c>
      <c r="D330" t="s">
        <v>4165</v>
      </c>
      <c r="E330" t="s">
        <v>4166</v>
      </c>
      <c r="F330" t="s">
        <v>3308</v>
      </c>
      <c r="G330" t="s">
        <v>4167</v>
      </c>
    </row>
    <row r="331" spans="1:7" ht="11.25" customHeight="1">
      <c r="A331" t="s">
        <v>16</v>
      </c>
      <c r="B331" t="s">
        <v>4168</v>
      </c>
      <c r="C331" t="s">
        <v>4169</v>
      </c>
      <c r="D331" t="s">
        <v>4170</v>
      </c>
      <c r="E331" t="s">
        <v>4171</v>
      </c>
      <c r="F331" t="s">
        <v>3308</v>
      </c>
      <c r="G331" t="s">
        <v>4172</v>
      </c>
    </row>
    <row r="332" spans="1:7" ht="11.25" customHeight="1">
      <c r="A332" t="s">
        <v>16</v>
      </c>
      <c r="B332" t="s">
        <v>4168</v>
      </c>
      <c r="C332" t="s">
        <v>4169</v>
      </c>
      <c r="D332" t="s">
        <v>4173</v>
      </c>
      <c r="E332" t="s">
        <v>4174</v>
      </c>
      <c r="F332" t="s">
        <v>3308</v>
      </c>
      <c r="G332" t="s">
        <v>4175</v>
      </c>
    </row>
    <row r="333" spans="1:7" ht="11.25" customHeight="1">
      <c r="A333" t="s">
        <v>16</v>
      </c>
      <c r="B333" t="s">
        <v>4168</v>
      </c>
      <c r="C333" t="s">
        <v>4169</v>
      </c>
      <c r="D333" t="s">
        <v>4176</v>
      </c>
      <c r="E333" t="s">
        <v>4177</v>
      </c>
      <c r="F333" t="s">
        <v>3308</v>
      </c>
      <c r="G333" t="s">
        <v>4178</v>
      </c>
    </row>
    <row r="334" spans="1:7" ht="11.25" customHeight="1">
      <c r="A334" t="s">
        <v>16</v>
      </c>
      <c r="B334" t="s">
        <v>4168</v>
      </c>
      <c r="C334" t="s">
        <v>4169</v>
      </c>
      <c r="D334" t="s">
        <v>4179</v>
      </c>
      <c r="E334" t="s">
        <v>4180</v>
      </c>
      <c r="F334" t="s">
        <v>3308</v>
      </c>
      <c r="G334" t="s">
        <v>4181</v>
      </c>
    </row>
    <row r="335" spans="1:7" ht="11.25" customHeight="1">
      <c r="A335" t="s">
        <v>16</v>
      </c>
      <c r="B335" t="s">
        <v>4168</v>
      </c>
      <c r="C335" t="s">
        <v>4169</v>
      </c>
      <c r="D335" t="s">
        <v>3763</v>
      </c>
      <c r="E335" t="s">
        <v>4182</v>
      </c>
      <c r="F335" t="s">
        <v>3308</v>
      </c>
      <c r="G335" t="s">
        <v>4183</v>
      </c>
    </row>
    <row r="336" spans="1:7" ht="11.25" customHeight="1">
      <c r="A336" t="s">
        <v>16</v>
      </c>
      <c r="B336" t="s">
        <v>4168</v>
      </c>
      <c r="C336" t="s">
        <v>4169</v>
      </c>
      <c r="D336" t="s">
        <v>4184</v>
      </c>
      <c r="E336" t="s">
        <v>4185</v>
      </c>
      <c r="F336" t="s">
        <v>3308</v>
      </c>
      <c r="G336" t="s">
        <v>4186</v>
      </c>
    </row>
    <row r="337" spans="1:7" ht="11.25" customHeight="1">
      <c r="A337" t="s">
        <v>16</v>
      </c>
      <c r="B337" t="s">
        <v>4168</v>
      </c>
      <c r="C337" t="s">
        <v>4169</v>
      </c>
      <c r="D337" t="s">
        <v>4187</v>
      </c>
      <c r="E337" t="s">
        <v>4188</v>
      </c>
      <c r="F337" t="s">
        <v>3308</v>
      </c>
      <c r="G337" t="s">
        <v>4189</v>
      </c>
    </row>
    <row r="338" spans="1:7" ht="11.25" customHeight="1">
      <c r="A338" t="s">
        <v>16</v>
      </c>
      <c r="B338" t="s">
        <v>4168</v>
      </c>
      <c r="C338" t="s">
        <v>4169</v>
      </c>
      <c r="D338" t="s">
        <v>4168</v>
      </c>
      <c r="E338" t="s">
        <v>4169</v>
      </c>
      <c r="F338" t="s">
        <v>3305</v>
      </c>
      <c r="G338" t="s">
        <v>4190</v>
      </c>
    </row>
    <row r="339" spans="1:7" ht="11.25" customHeight="1">
      <c r="A339" t="s">
        <v>16</v>
      </c>
      <c r="B339" t="s">
        <v>4168</v>
      </c>
      <c r="C339" t="s">
        <v>4169</v>
      </c>
      <c r="D339" t="s">
        <v>4191</v>
      </c>
      <c r="E339" t="s">
        <v>4192</v>
      </c>
      <c r="F339" t="s">
        <v>3345</v>
      </c>
      <c r="G339" t="s">
        <v>4193</v>
      </c>
    </row>
    <row r="340" spans="1:7" ht="11.25" customHeight="1">
      <c r="A340" t="s">
        <v>16</v>
      </c>
      <c r="B340" t="s">
        <v>4168</v>
      </c>
      <c r="C340" t="s">
        <v>4169</v>
      </c>
      <c r="D340" t="s">
        <v>4194</v>
      </c>
      <c r="E340" t="s">
        <v>4195</v>
      </c>
      <c r="F340" t="s">
        <v>3308</v>
      </c>
      <c r="G340" t="s">
        <v>4196</v>
      </c>
    </row>
    <row r="341" spans="1:7" ht="11.25" customHeight="1">
      <c r="A341" t="s">
        <v>16</v>
      </c>
      <c r="B341" t="s">
        <v>4168</v>
      </c>
      <c r="C341" t="s">
        <v>4169</v>
      </c>
      <c r="D341" t="s">
        <v>4197</v>
      </c>
      <c r="E341" t="s">
        <v>4198</v>
      </c>
      <c r="F341" t="s">
        <v>3308</v>
      </c>
      <c r="G341" t="s">
        <v>4199</v>
      </c>
    </row>
    <row r="342" spans="1:7" ht="11.25" customHeight="1">
      <c r="A342" t="s">
        <v>16</v>
      </c>
      <c r="B342" t="s">
        <v>164</v>
      </c>
      <c r="C342" t="s">
        <v>4200</v>
      </c>
      <c r="D342" t="s">
        <v>4201</v>
      </c>
      <c r="E342" t="s">
        <v>4202</v>
      </c>
      <c r="F342" t="s">
        <v>3308</v>
      </c>
      <c r="G342" t="s">
        <v>4203</v>
      </c>
    </row>
    <row r="343" spans="1:7" ht="11.25" customHeight="1">
      <c r="A343" t="s">
        <v>16</v>
      </c>
      <c r="B343" t="s">
        <v>164</v>
      </c>
      <c r="C343" t="s">
        <v>4200</v>
      </c>
      <c r="D343" t="s">
        <v>4204</v>
      </c>
      <c r="E343" t="s">
        <v>4205</v>
      </c>
      <c r="F343" t="s">
        <v>3308</v>
      </c>
      <c r="G343" t="s">
        <v>4206</v>
      </c>
    </row>
    <row r="344" spans="1:7" ht="11.25" customHeight="1">
      <c r="A344" t="s">
        <v>16</v>
      </c>
      <c r="B344" t="s">
        <v>164</v>
      </c>
      <c r="C344" t="s">
        <v>4200</v>
      </c>
      <c r="D344" t="s">
        <v>3662</v>
      </c>
      <c r="E344" t="s">
        <v>4207</v>
      </c>
      <c r="F344" t="s">
        <v>3308</v>
      </c>
      <c r="G344" t="s">
        <v>4208</v>
      </c>
    </row>
    <row r="345" spans="1:7" ht="11.25" customHeight="1">
      <c r="A345" t="s">
        <v>16</v>
      </c>
      <c r="B345" t="s">
        <v>164</v>
      </c>
      <c r="C345" t="s">
        <v>4200</v>
      </c>
      <c r="D345" t="s">
        <v>3733</v>
      </c>
      <c r="E345" t="s">
        <v>4209</v>
      </c>
      <c r="F345" t="s">
        <v>3308</v>
      </c>
      <c r="G345" t="s">
        <v>4210</v>
      </c>
    </row>
    <row r="346" spans="1:7" ht="11.25" customHeight="1">
      <c r="A346" t="s">
        <v>16</v>
      </c>
      <c r="B346" t="s">
        <v>164</v>
      </c>
      <c r="C346" t="s">
        <v>4200</v>
      </c>
      <c r="D346" t="s">
        <v>4211</v>
      </c>
      <c r="E346" t="s">
        <v>4212</v>
      </c>
      <c r="F346" t="s">
        <v>3308</v>
      </c>
      <c r="G346" t="s">
        <v>4213</v>
      </c>
    </row>
    <row r="347" spans="1:7" ht="11.25" customHeight="1">
      <c r="A347" t="s">
        <v>16</v>
      </c>
      <c r="B347" t="s">
        <v>164</v>
      </c>
      <c r="C347" t="s">
        <v>4200</v>
      </c>
      <c r="D347" t="s">
        <v>4214</v>
      </c>
      <c r="E347" t="s">
        <v>4215</v>
      </c>
      <c r="F347" t="s">
        <v>3308</v>
      </c>
      <c r="G347" t="s">
        <v>4216</v>
      </c>
    </row>
    <row r="348" spans="1:7" ht="11.25" customHeight="1">
      <c r="A348" t="s">
        <v>16</v>
      </c>
      <c r="B348" t="s">
        <v>164</v>
      </c>
      <c r="C348" t="s">
        <v>4200</v>
      </c>
      <c r="D348" t="s">
        <v>3736</v>
      </c>
      <c r="E348" t="s">
        <v>4217</v>
      </c>
      <c r="F348" t="s">
        <v>3308</v>
      </c>
      <c r="G348" t="s">
        <v>4218</v>
      </c>
    </row>
    <row r="349" spans="1:7" ht="11.25" customHeight="1">
      <c r="A349" t="s">
        <v>16</v>
      </c>
      <c r="B349" t="s">
        <v>164</v>
      </c>
      <c r="C349" t="s">
        <v>4200</v>
      </c>
      <c r="D349" t="s">
        <v>4219</v>
      </c>
      <c r="E349" t="s">
        <v>4220</v>
      </c>
      <c r="F349" t="s">
        <v>3308</v>
      </c>
      <c r="G349" t="s">
        <v>4221</v>
      </c>
    </row>
    <row r="350" spans="1:7" ht="11.25" customHeight="1">
      <c r="A350" t="s">
        <v>16</v>
      </c>
      <c r="B350" t="s">
        <v>164</v>
      </c>
      <c r="C350" t="s">
        <v>4200</v>
      </c>
      <c r="D350" t="s">
        <v>4222</v>
      </c>
      <c r="E350" t="s">
        <v>4223</v>
      </c>
      <c r="F350" t="s">
        <v>3308</v>
      </c>
      <c r="G350" t="s">
        <v>4224</v>
      </c>
    </row>
    <row r="351" spans="1:7" ht="11.25" customHeight="1">
      <c r="A351" t="s">
        <v>16</v>
      </c>
      <c r="B351" t="s">
        <v>164</v>
      </c>
      <c r="C351" t="s">
        <v>4200</v>
      </c>
      <c r="D351" t="s">
        <v>164</v>
      </c>
      <c r="E351" t="s">
        <v>4200</v>
      </c>
      <c r="F351" t="s">
        <v>3305</v>
      </c>
      <c r="G351" t="s">
        <v>4225</v>
      </c>
    </row>
    <row r="352" spans="1:7" ht="11.25" customHeight="1">
      <c r="A352" t="s">
        <v>16</v>
      </c>
      <c r="B352" t="s">
        <v>4226</v>
      </c>
      <c r="C352" t="s">
        <v>4227</v>
      </c>
      <c r="D352" t="s">
        <v>4228</v>
      </c>
      <c r="E352" t="s">
        <v>4229</v>
      </c>
      <c r="F352" t="s">
        <v>3308</v>
      </c>
      <c r="G352" t="s">
        <v>4230</v>
      </c>
    </row>
    <row r="353" spans="1:7" ht="11.25" customHeight="1">
      <c r="A353" t="s">
        <v>16</v>
      </c>
      <c r="B353" t="s">
        <v>4226</v>
      </c>
      <c r="C353" t="s">
        <v>4227</v>
      </c>
      <c r="D353" t="s">
        <v>4231</v>
      </c>
      <c r="E353" t="s">
        <v>4232</v>
      </c>
      <c r="F353" t="s">
        <v>3308</v>
      </c>
      <c r="G353" t="s">
        <v>4233</v>
      </c>
    </row>
    <row r="354" spans="1:7" ht="11.25" customHeight="1">
      <c r="A354" t="s">
        <v>16</v>
      </c>
      <c r="B354" t="s">
        <v>4226</v>
      </c>
      <c r="C354" t="s">
        <v>4227</v>
      </c>
      <c r="D354" t="s">
        <v>4234</v>
      </c>
      <c r="E354" t="s">
        <v>4235</v>
      </c>
      <c r="F354" t="s">
        <v>3308</v>
      </c>
      <c r="G354" t="s">
        <v>4236</v>
      </c>
    </row>
    <row r="355" spans="1:7" ht="11.25" customHeight="1">
      <c r="A355" t="s">
        <v>16</v>
      </c>
      <c r="B355" t="s">
        <v>4226</v>
      </c>
      <c r="C355" t="s">
        <v>4227</v>
      </c>
      <c r="D355" t="s">
        <v>3891</v>
      </c>
      <c r="E355" t="s">
        <v>4237</v>
      </c>
      <c r="F355" t="s">
        <v>3308</v>
      </c>
      <c r="G355" t="s">
        <v>4238</v>
      </c>
    </row>
    <row r="356" spans="1:7" ht="11.25" customHeight="1">
      <c r="A356" t="s">
        <v>16</v>
      </c>
      <c r="B356" t="s">
        <v>4226</v>
      </c>
      <c r="C356" t="s">
        <v>4227</v>
      </c>
      <c r="D356" t="s">
        <v>3640</v>
      </c>
      <c r="E356" t="s">
        <v>4239</v>
      </c>
      <c r="F356" t="s">
        <v>3308</v>
      </c>
      <c r="G356" t="s">
        <v>4240</v>
      </c>
    </row>
    <row r="357" spans="1:7" ht="11.25" customHeight="1">
      <c r="A357" t="s">
        <v>16</v>
      </c>
      <c r="B357" t="s">
        <v>4226</v>
      </c>
      <c r="C357" t="s">
        <v>4227</v>
      </c>
      <c r="D357" t="s">
        <v>4226</v>
      </c>
      <c r="E357" t="s">
        <v>4227</v>
      </c>
      <c r="F357" t="s">
        <v>3305</v>
      </c>
      <c r="G357" t="s">
        <v>4241</v>
      </c>
    </row>
    <row r="358" spans="1:7" ht="11.25" customHeight="1">
      <c r="A358" t="s">
        <v>16</v>
      </c>
      <c r="B358" t="s">
        <v>4226</v>
      </c>
      <c r="C358" t="s">
        <v>4227</v>
      </c>
      <c r="D358" t="s">
        <v>4242</v>
      </c>
      <c r="E358" t="s">
        <v>4243</v>
      </c>
      <c r="F358" t="s">
        <v>3308</v>
      </c>
      <c r="G358" t="s">
        <v>4244</v>
      </c>
    </row>
    <row r="359" spans="1:7" ht="11.25" customHeight="1">
      <c r="A359" t="s">
        <v>16</v>
      </c>
      <c r="B359" t="s">
        <v>133</v>
      </c>
      <c r="C359" t="s">
        <v>4245</v>
      </c>
      <c r="D359" t="s">
        <v>4170</v>
      </c>
      <c r="E359" t="s">
        <v>4246</v>
      </c>
      <c r="F359" t="s">
        <v>3308</v>
      </c>
      <c r="G359" t="s">
        <v>4247</v>
      </c>
    </row>
    <row r="360" spans="1:7" ht="11.25" customHeight="1">
      <c r="A360" t="s">
        <v>16</v>
      </c>
      <c r="B360" t="s">
        <v>133</v>
      </c>
      <c r="C360" t="s">
        <v>4245</v>
      </c>
      <c r="D360" t="s">
        <v>4248</v>
      </c>
      <c r="E360" t="s">
        <v>4249</v>
      </c>
      <c r="F360" t="s">
        <v>3308</v>
      </c>
      <c r="G360" t="s">
        <v>4250</v>
      </c>
    </row>
    <row r="361" spans="1:7" ht="11.25" customHeight="1">
      <c r="A361" t="s">
        <v>16</v>
      </c>
      <c r="B361" t="s">
        <v>133</v>
      </c>
      <c r="C361" t="s">
        <v>4245</v>
      </c>
      <c r="D361" t="s">
        <v>3871</v>
      </c>
      <c r="E361" t="s">
        <v>4251</v>
      </c>
      <c r="F361" t="s">
        <v>3308</v>
      </c>
      <c r="G361" t="s">
        <v>4252</v>
      </c>
    </row>
    <row r="362" spans="1:7" ht="11.25" customHeight="1">
      <c r="A362" t="s">
        <v>16</v>
      </c>
      <c r="B362" t="s">
        <v>133</v>
      </c>
      <c r="C362" t="s">
        <v>4245</v>
      </c>
      <c r="D362" t="s">
        <v>4253</v>
      </c>
      <c r="E362" t="s">
        <v>4254</v>
      </c>
      <c r="F362" t="s">
        <v>3308</v>
      </c>
      <c r="G362" t="s">
        <v>4255</v>
      </c>
    </row>
    <row r="363" spans="1:7" ht="11.25" customHeight="1">
      <c r="A363" t="s">
        <v>16</v>
      </c>
      <c r="B363" t="s">
        <v>133</v>
      </c>
      <c r="C363" t="s">
        <v>4245</v>
      </c>
      <c r="D363" t="s">
        <v>4256</v>
      </c>
      <c r="E363" t="s">
        <v>4257</v>
      </c>
      <c r="F363" t="s">
        <v>3308</v>
      </c>
      <c r="G363" t="s">
        <v>4258</v>
      </c>
    </row>
    <row r="364" spans="1:7" ht="11.25" customHeight="1">
      <c r="A364" t="s">
        <v>16</v>
      </c>
      <c r="B364" t="s">
        <v>133</v>
      </c>
      <c r="C364" t="s">
        <v>4245</v>
      </c>
      <c r="D364" t="s">
        <v>3376</v>
      </c>
      <c r="E364" t="s">
        <v>4259</v>
      </c>
      <c r="F364" t="s">
        <v>3308</v>
      </c>
      <c r="G364" t="s">
        <v>4260</v>
      </c>
    </row>
    <row r="365" spans="1:7" ht="11.25" customHeight="1">
      <c r="A365" t="s">
        <v>16</v>
      </c>
      <c r="B365" t="s">
        <v>133</v>
      </c>
      <c r="C365" t="s">
        <v>4245</v>
      </c>
      <c r="D365" t="s">
        <v>4261</v>
      </c>
      <c r="E365" t="s">
        <v>4262</v>
      </c>
      <c r="F365" t="s">
        <v>3308</v>
      </c>
      <c r="G365" t="s">
        <v>4263</v>
      </c>
    </row>
    <row r="366" spans="1:7" ht="11.25" customHeight="1">
      <c r="A366" t="s">
        <v>16</v>
      </c>
      <c r="B366" t="s">
        <v>133</v>
      </c>
      <c r="C366" t="s">
        <v>4245</v>
      </c>
      <c r="D366" t="s">
        <v>4264</v>
      </c>
      <c r="E366" t="s">
        <v>4265</v>
      </c>
      <c r="F366" t="s">
        <v>3308</v>
      </c>
      <c r="G366" t="s">
        <v>4266</v>
      </c>
    </row>
    <row r="367" spans="1:7" ht="11.25" customHeight="1">
      <c r="A367" t="s">
        <v>16</v>
      </c>
      <c r="B367" t="s">
        <v>133</v>
      </c>
      <c r="C367" t="s">
        <v>4245</v>
      </c>
      <c r="D367" t="s">
        <v>133</v>
      </c>
      <c r="E367" t="s">
        <v>4245</v>
      </c>
      <c r="F367" t="s">
        <v>3305</v>
      </c>
      <c r="G367" t="s">
        <v>4267</v>
      </c>
    </row>
    <row r="368" spans="1:7" ht="11.25" customHeight="1">
      <c r="A368" t="s">
        <v>16</v>
      </c>
      <c r="B368" t="s">
        <v>133</v>
      </c>
      <c r="C368" t="s">
        <v>4245</v>
      </c>
      <c r="D368" t="s">
        <v>4268</v>
      </c>
      <c r="E368" t="s">
        <v>4269</v>
      </c>
      <c r="F368" t="s">
        <v>3308</v>
      </c>
      <c r="G368" t="s">
        <v>4270</v>
      </c>
    </row>
    <row r="369" spans="1:7" ht="11.25" customHeight="1">
      <c r="A369" t="s">
        <v>16</v>
      </c>
      <c r="B369" t="s">
        <v>133</v>
      </c>
      <c r="C369" t="s">
        <v>4245</v>
      </c>
      <c r="D369" t="s">
        <v>4271</v>
      </c>
      <c r="E369" t="s">
        <v>4272</v>
      </c>
      <c r="F369" t="s">
        <v>3308</v>
      </c>
      <c r="G369" t="s">
        <v>4273</v>
      </c>
    </row>
    <row r="370" spans="1:7" ht="11.25" customHeight="1">
      <c r="A370" t="s">
        <v>16</v>
      </c>
      <c r="B370" t="s">
        <v>4274</v>
      </c>
      <c r="C370" t="s">
        <v>4275</v>
      </c>
      <c r="D370" t="s">
        <v>4276</v>
      </c>
      <c r="E370" t="s">
        <v>4277</v>
      </c>
      <c r="F370" t="s">
        <v>3308</v>
      </c>
      <c r="G370" t="s">
        <v>4278</v>
      </c>
    </row>
    <row r="371" spans="1:7" ht="11.25" customHeight="1">
      <c r="A371" t="s">
        <v>16</v>
      </c>
      <c r="B371" t="s">
        <v>4274</v>
      </c>
      <c r="C371" t="s">
        <v>4275</v>
      </c>
      <c r="D371" t="s">
        <v>4279</v>
      </c>
      <c r="E371" t="s">
        <v>4280</v>
      </c>
      <c r="F371" t="s">
        <v>3308</v>
      </c>
      <c r="G371" t="s">
        <v>4281</v>
      </c>
    </row>
    <row r="372" spans="1:7" ht="11.25" customHeight="1">
      <c r="A372" t="s">
        <v>16</v>
      </c>
      <c r="B372" t="s">
        <v>4274</v>
      </c>
      <c r="C372" t="s">
        <v>4275</v>
      </c>
      <c r="D372" t="s">
        <v>4282</v>
      </c>
      <c r="E372" t="s">
        <v>4283</v>
      </c>
      <c r="F372" t="s">
        <v>3308</v>
      </c>
      <c r="G372" t="s">
        <v>4284</v>
      </c>
    </row>
    <row r="373" spans="1:7" ht="11.25" customHeight="1">
      <c r="A373" t="s">
        <v>16</v>
      </c>
      <c r="B373" t="s">
        <v>4274</v>
      </c>
      <c r="C373" t="s">
        <v>4275</v>
      </c>
      <c r="D373" t="s">
        <v>4285</v>
      </c>
      <c r="E373" t="s">
        <v>4286</v>
      </c>
      <c r="F373" t="s">
        <v>3308</v>
      </c>
      <c r="G373" t="s">
        <v>4287</v>
      </c>
    </row>
    <row r="374" spans="1:7" ht="11.25" customHeight="1">
      <c r="A374" t="s">
        <v>16</v>
      </c>
      <c r="B374" t="s">
        <v>4274</v>
      </c>
      <c r="C374" t="s">
        <v>4275</v>
      </c>
      <c r="D374" t="s">
        <v>4288</v>
      </c>
      <c r="E374" t="s">
        <v>4289</v>
      </c>
      <c r="F374" t="s">
        <v>3308</v>
      </c>
      <c r="G374" t="s">
        <v>4290</v>
      </c>
    </row>
    <row r="375" spans="1:7" ht="11.25" customHeight="1">
      <c r="A375" t="s">
        <v>16</v>
      </c>
      <c r="B375" t="s">
        <v>4274</v>
      </c>
      <c r="C375" t="s">
        <v>4275</v>
      </c>
      <c r="D375" t="s">
        <v>4291</v>
      </c>
      <c r="E375" t="s">
        <v>4292</v>
      </c>
      <c r="F375" t="s">
        <v>3308</v>
      </c>
      <c r="G375" t="s">
        <v>4293</v>
      </c>
    </row>
    <row r="376" spans="1:7" ht="11.25" customHeight="1">
      <c r="A376" t="s">
        <v>16</v>
      </c>
      <c r="B376" t="s">
        <v>4274</v>
      </c>
      <c r="C376" t="s">
        <v>4275</v>
      </c>
      <c r="D376" t="s">
        <v>4294</v>
      </c>
      <c r="E376" t="s">
        <v>4295</v>
      </c>
      <c r="F376" t="s">
        <v>3308</v>
      </c>
      <c r="G376" t="s">
        <v>4296</v>
      </c>
    </row>
    <row r="377" spans="1:7" ht="11.25" customHeight="1">
      <c r="A377" t="s">
        <v>16</v>
      </c>
      <c r="B377" t="s">
        <v>4274</v>
      </c>
      <c r="C377" t="s">
        <v>4275</v>
      </c>
      <c r="D377" t="s">
        <v>4274</v>
      </c>
      <c r="E377" t="s">
        <v>4275</v>
      </c>
      <c r="F377" t="s">
        <v>3305</v>
      </c>
      <c r="G377" t="s">
        <v>4297</v>
      </c>
    </row>
    <row r="378" spans="1:7" ht="11.25" customHeight="1">
      <c r="A378" t="s">
        <v>16</v>
      </c>
      <c r="B378" t="s">
        <v>4274</v>
      </c>
      <c r="C378" t="s">
        <v>4275</v>
      </c>
      <c r="D378" t="s">
        <v>4298</v>
      </c>
      <c r="E378" t="s">
        <v>4299</v>
      </c>
      <c r="F378" t="s">
        <v>3345</v>
      </c>
      <c r="G378" t="s">
        <v>4300</v>
      </c>
    </row>
    <row r="379" spans="1:7" ht="11.25" customHeight="1">
      <c r="A379" t="s">
        <v>16</v>
      </c>
      <c r="B379" t="s">
        <v>4274</v>
      </c>
      <c r="C379" t="s">
        <v>4275</v>
      </c>
      <c r="D379" t="s">
        <v>4301</v>
      </c>
      <c r="E379" t="s">
        <v>4302</v>
      </c>
      <c r="F379" t="s">
        <v>3308</v>
      </c>
      <c r="G379" t="s">
        <v>4303</v>
      </c>
    </row>
    <row r="380" spans="1:7" ht="11.25" customHeight="1">
      <c r="A380" t="s">
        <v>16</v>
      </c>
      <c r="B380" t="s">
        <v>4274</v>
      </c>
      <c r="C380" t="s">
        <v>4275</v>
      </c>
      <c r="D380" t="s">
        <v>4304</v>
      </c>
      <c r="E380" t="s">
        <v>4305</v>
      </c>
      <c r="F380" t="s">
        <v>3308</v>
      </c>
      <c r="G380" t="s">
        <v>4306</v>
      </c>
    </row>
    <row r="381" spans="1:7" ht="11.25" customHeight="1">
      <c r="A381" t="s">
        <v>16</v>
      </c>
      <c r="B381" t="s">
        <v>4307</v>
      </c>
      <c r="C381" t="s">
        <v>4308</v>
      </c>
      <c r="D381" t="s">
        <v>4309</v>
      </c>
      <c r="E381" t="s">
        <v>4310</v>
      </c>
      <c r="F381" t="s">
        <v>3308</v>
      </c>
      <c r="G381" t="s">
        <v>4311</v>
      </c>
    </row>
    <row r="382" spans="1:7" ht="11.25" customHeight="1">
      <c r="A382" t="s">
        <v>16</v>
      </c>
      <c r="B382" t="s">
        <v>4307</v>
      </c>
      <c r="C382" t="s">
        <v>4308</v>
      </c>
      <c r="D382" t="s">
        <v>4307</v>
      </c>
      <c r="E382" t="s">
        <v>4308</v>
      </c>
      <c r="F382" t="s">
        <v>3305</v>
      </c>
      <c r="G382" t="s">
        <v>4312</v>
      </c>
    </row>
    <row r="383" spans="1:7" ht="11.25" customHeight="1">
      <c r="A383" t="s">
        <v>16</v>
      </c>
      <c r="B383" t="s">
        <v>4307</v>
      </c>
      <c r="C383" t="s">
        <v>4308</v>
      </c>
      <c r="D383" t="s">
        <v>4313</v>
      </c>
      <c r="E383" t="s">
        <v>4314</v>
      </c>
      <c r="F383" t="s">
        <v>3308</v>
      </c>
      <c r="G383" t="s">
        <v>4315</v>
      </c>
    </row>
    <row r="384" spans="1:7" ht="11.25" customHeight="1">
      <c r="A384" t="s">
        <v>16</v>
      </c>
      <c r="B384" t="s">
        <v>4307</v>
      </c>
      <c r="C384" t="s">
        <v>4308</v>
      </c>
      <c r="D384" t="s">
        <v>4316</v>
      </c>
      <c r="E384" t="s">
        <v>4317</v>
      </c>
      <c r="F384" t="s">
        <v>3308</v>
      </c>
      <c r="G384" t="s">
        <v>4318</v>
      </c>
    </row>
    <row r="385" spans="1:7" ht="11.25" customHeight="1">
      <c r="A385" t="s">
        <v>16</v>
      </c>
      <c r="B385" t="s">
        <v>4319</v>
      </c>
      <c r="C385" t="s">
        <v>4320</v>
      </c>
      <c r="D385" t="s">
        <v>4321</v>
      </c>
      <c r="E385" t="s">
        <v>4322</v>
      </c>
      <c r="F385" t="s">
        <v>3308</v>
      </c>
      <c r="G385" t="s">
        <v>4323</v>
      </c>
    </row>
    <row r="386" spans="1:7" ht="11.25" customHeight="1">
      <c r="A386" t="s">
        <v>16</v>
      </c>
      <c r="B386" t="s">
        <v>4319</v>
      </c>
      <c r="C386" t="s">
        <v>4320</v>
      </c>
      <c r="D386" t="s">
        <v>4324</v>
      </c>
      <c r="E386" t="s">
        <v>4325</v>
      </c>
      <c r="F386" t="s">
        <v>3308</v>
      </c>
      <c r="G386" t="s">
        <v>4326</v>
      </c>
    </row>
    <row r="387" spans="1:7" ht="11.25" customHeight="1">
      <c r="A387" t="s">
        <v>16</v>
      </c>
      <c r="B387" t="s">
        <v>4319</v>
      </c>
      <c r="C387" t="s">
        <v>4320</v>
      </c>
      <c r="D387" t="s">
        <v>4327</v>
      </c>
      <c r="E387" t="s">
        <v>4328</v>
      </c>
      <c r="F387" t="s">
        <v>3308</v>
      </c>
      <c r="G387" t="s">
        <v>4329</v>
      </c>
    </row>
    <row r="388" spans="1:7" ht="11.25" customHeight="1">
      <c r="A388" t="s">
        <v>16</v>
      </c>
      <c r="B388" t="s">
        <v>4319</v>
      </c>
      <c r="C388" t="s">
        <v>4320</v>
      </c>
      <c r="D388" t="s">
        <v>4330</v>
      </c>
      <c r="E388" t="s">
        <v>4331</v>
      </c>
      <c r="F388" t="s">
        <v>3308</v>
      </c>
      <c r="G388" t="s">
        <v>4332</v>
      </c>
    </row>
    <row r="389" spans="1:7" ht="11.25" customHeight="1">
      <c r="A389" t="s">
        <v>16</v>
      </c>
      <c r="B389" t="s">
        <v>4319</v>
      </c>
      <c r="C389" t="s">
        <v>4320</v>
      </c>
      <c r="D389" t="s">
        <v>4333</v>
      </c>
      <c r="E389" t="s">
        <v>4334</v>
      </c>
      <c r="F389" t="s">
        <v>3308</v>
      </c>
      <c r="G389" t="s">
        <v>4335</v>
      </c>
    </row>
    <row r="390" spans="1:7" ht="11.25" customHeight="1">
      <c r="A390" t="s">
        <v>16</v>
      </c>
      <c r="B390" t="s">
        <v>4319</v>
      </c>
      <c r="C390" t="s">
        <v>4320</v>
      </c>
      <c r="D390" t="s">
        <v>4336</v>
      </c>
      <c r="E390" t="s">
        <v>4337</v>
      </c>
      <c r="F390" t="s">
        <v>3308</v>
      </c>
      <c r="G390" t="s">
        <v>4338</v>
      </c>
    </row>
    <row r="391" spans="1:7" ht="11.25" customHeight="1">
      <c r="A391" t="s">
        <v>16</v>
      </c>
      <c r="B391" t="s">
        <v>4319</v>
      </c>
      <c r="C391" t="s">
        <v>4320</v>
      </c>
      <c r="D391" t="s">
        <v>3700</v>
      </c>
      <c r="E391" t="s">
        <v>4339</v>
      </c>
      <c r="F391" t="s">
        <v>3308</v>
      </c>
      <c r="G391" t="s">
        <v>4340</v>
      </c>
    </row>
    <row r="392" spans="1:7" ht="11.25" customHeight="1">
      <c r="A392" t="s">
        <v>16</v>
      </c>
      <c r="B392" t="s">
        <v>4319</v>
      </c>
      <c r="C392" t="s">
        <v>4320</v>
      </c>
      <c r="D392" t="s">
        <v>4341</v>
      </c>
      <c r="E392" t="s">
        <v>4342</v>
      </c>
      <c r="F392" t="s">
        <v>3308</v>
      </c>
      <c r="G392" t="s">
        <v>4343</v>
      </c>
    </row>
    <row r="393" spans="1:7" ht="11.25" customHeight="1">
      <c r="A393" t="s">
        <v>16</v>
      </c>
      <c r="B393" t="s">
        <v>4319</v>
      </c>
      <c r="C393" t="s">
        <v>4320</v>
      </c>
      <c r="D393" t="s">
        <v>4344</v>
      </c>
      <c r="E393" t="s">
        <v>4345</v>
      </c>
      <c r="F393" t="s">
        <v>3308</v>
      </c>
      <c r="G393" t="s">
        <v>4346</v>
      </c>
    </row>
    <row r="394" spans="1:7" ht="11.25" customHeight="1">
      <c r="A394" t="s">
        <v>16</v>
      </c>
      <c r="B394" t="s">
        <v>4319</v>
      </c>
      <c r="C394" t="s">
        <v>4320</v>
      </c>
      <c r="D394" t="s">
        <v>4319</v>
      </c>
      <c r="E394" t="s">
        <v>4320</v>
      </c>
      <c r="F394" t="s">
        <v>3305</v>
      </c>
      <c r="G394" t="s">
        <v>4347</v>
      </c>
    </row>
    <row r="395" spans="1:7" ht="11.25" customHeight="1">
      <c r="A395" t="s">
        <v>16</v>
      </c>
      <c r="B395" t="s">
        <v>4319</v>
      </c>
      <c r="C395" t="s">
        <v>4320</v>
      </c>
      <c r="D395" t="s">
        <v>4348</v>
      </c>
      <c r="E395" t="s">
        <v>4349</v>
      </c>
      <c r="F395" t="s">
        <v>3308</v>
      </c>
      <c r="G395" t="s">
        <v>4350</v>
      </c>
    </row>
    <row r="396" spans="1:7" ht="11.25" customHeight="1">
      <c r="A396" t="s">
        <v>16</v>
      </c>
      <c r="B396" t="s">
        <v>4351</v>
      </c>
      <c r="C396" t="s">
        <v>4352</v>
      </c>
      <c r="D396" t="s">
        <v>4353</v>
      </c>
      <c r="E396" t="s">
        <v>4354</v>
      </c>
      <c r="F396" t="s">
        <v>3308</v>
      </c>
      <c r="G396" t="s">
        <v>4355</v>
      </c>
    </row>
    <row r="397" spans="1:7" ht="11.25" customHeight="1">
      <c r="A397" t="s">
        <v>16</v>
      </c>
      <c r="B397" t="s">
        <v>4351</v>
      </c>
      <c r="C397" t="s">
        <v>4352</v>
      </c>
      <c r="D397" t="s">
        <v>4356</v>
      </c>
      <c r="E397" t="s">
        <v>4357</v>
      </c>
      <c r="F397" t="s">
        <v>3308</v>
      </c>
      <c r="G397" t="s">
        <v>4358</v>
      </c>
    </row>
    <row r="398" spans="1:7" ht="11.25" customHeight="1">
      <c r="A398" t="s">
        <v>16</v>
      </c>
      <c r="B398" t="s">
        <v>4351</v>
      </c>
      <c r="C398" t="s">
        <v>4352</v>
      </c>
      <c r="D398" t="s">
        <v>4359</v>
      </c>
      <c r="E398" t="s">
        <v>4360</v>
      </c>
      <c r="F398" t="s">
        <v>3308</v>
      </c>
      <c r="G398" t="s">
        <v>4361</v>
      </c>
    </row>
    <row r="399" spans="1:7" ht="11.25" customHeight="1">
      <c r="A399" t="s">
        <v>16</v>
      </c>
      <c r="B399" t="s">
        <v>4351</v>
      </c>
      <c r="C399" t="s">
        <v>4352</v>
      </c>
      <c r="D399" t="s">
        <v>4362</v>
      </c>
      <c r="E399" t="s">
        <v>4363</v>
      </c>
      <c r="F399" t="s">
        <v>3308</v>
      </c>
      <c r="G399" t="s">
        <v>4364</v>
      </c>
    </row>
    <row r="400" spans="1:7" ht="11.25" customHeight="1">
      <c r="A400" t="s">
        <v>16</v>
      </c>
      <c r="B400" t="s">
        <v>4351</v>
      </c>
      <c r="C400" t="s">
        <v>4352</v>
      </c>
      <c r="D400" t="s">
        <v>4365</v>
      </c>
      <c r="E400" t="s">
        <v>4366</v>
      </c>
      <c r="F400" t="s">
        <v>3308</v>
      </c>
      <c r="G400" t="s">
        <v>4367</v>
      </c>
    </row>
    <row r="401" spans="1:7" ht="11.25" customHeight="1">
      <c r="A401" t="s">
        <v>16</v>
      </c>
      <c r="B401" t="s">
        <v>4351</v>
      </c>
      <c r="C401" t="s">
        <v>4352</v>
      </c>
      <c r="D401" t="s">
        <v>4368</v>
      </c>
      <c r="E401" t="s">
        <v>4369</v>
      </c>
      <c r="F401" t="s">
        <v>3308</v>
      </c>
      <c r="G401" t="s">
        <v>4370</v>
      </c>
    </row>
    <row r="402" spans="1:7" ht="11.25" customHeight="1">
      <c r="A402" t="s">
        <v>16</v>
      </c>
      <c r="B402" t="s">
        <v>4351</v>
      </c>
      <c r="C402" t="s">
        <v>4352</v>
      </c>
      <c r="D402" t="s">
        <v>3800</v>
      </c>
      <c r="E402" t="s">
        <v>4371</v>
      </c>
      <c r="F402" t="s">
        <v>3308</v>
      </c>
      <c r="G402" t="s">
        <v>4372</v>
      </c>
    </row>
    <row r="403" spans="1:7" ht="11.25" customHeight="1">
      <c r="A403" t="s">
        <v>16</v>
      </c>
      <c r="B403" t="s">
        <v>4351</v>
      </c>
      <c r="C403" t="s">
        <v>4352</v>
      </c>
      <c r="D403" t="s">
        <v>4373</v>
      </c>
      <c r="E403" t="s">
        <v>4374</v>
      </c>
      <c r="F403" t="s">
        <v>3308</v>
      </c>
      <c r="G403" t="s">
        <v>4375</v>
      </c>
    </row>
    <row r="404" spans="1:7" ht="11.25" customHeight="1">
      <c r="A404" t="s">
        <v>16</v>
      </c>
      <c r="B404" t="s">
        <v>4351</v>
      </c>
      <c r="C404" t="s">
        <v>4352</v>
      </c>
      <c r="D404" t="s">
        <v>4194</v>
      </c>
      <c r="E404" t="s">
        <v>4376</v>
      </c>
      <c r="F404" t="s">
        <v>3308</v>
      </c>
      <c r="G404" t="s">
        <v>4377</v>
      </c>
    </row>
    <row r="405" spans="1:7" ht="11.25" customHeight="1">
      <c r="A405" t="s">
        <v>16</v>
      </c>
      <c r="B405" t="s">
        <v>4351</v>
      </c>
      <c r="C405" t="s">
        <v>4352</v>
      </c>
      <c r="D405" t="s">
        <v>4351</v>
      </c>
      <c r="E405" t="s">
        <v>4352</v>
      </c>
      <c r="F405" t="s">
        <v>3305</v>
      </c>
      <c r="G405" t="s">
        <v>4378</v>
      </c>
    </row>
    <row r="406" spans="1:7" ht="11.25" customHeight="1">
      <c r="A406" t="s">
        <v>16</v>
      </c>
      <c r="B406" t="s">
        <v>4351</v>
      </c>
      <c r="C406" t="s">
        <v>4352</v>
      </c>
      <c r="D406" t="s">
        <v>4379</v>
      </c>
      <c r="E406" t="s">
        <v>4380</v>
      </c>
      <c r="F406" t="s">
        <v>3308</v>
      </c>
      <c r="G406" t="s">
        <v>4381</v>
      </c>
    </row>
    <row r="407" spans="1:7" ht="11.25" customHeight="1">
      <c r="A407" t="s">
        <v>16</v>
      </c>
      <c r="B407" t="s">
        <v>4351</v>
      </c>
      <c r="C407" t="s">
        <v>4352</v>
      </c>
      <c r="D407" t="s">
        <v>4382</v>
      </c>
      <c r="E407" t="s">
        <v>4383</v>
      </c>
      <c r="F407" t="s">
        <v>3308</v>
      </c>
      <c r="G407" t="s">
        <v>4384</v>
      </c>
    </row>
    <row r="408" spans="1:7" ht="11.25" customHeight="1">
      <c r="A408" t="s">
        <v>16</v>
      </c>
      <c r="B408" t="s">
        <v>4385</v>
      </c>
      <c r="C408" t="s">
        <v>4386</v>
      </c>
      <c r="D408" t="s">
        <v>4387</v>
      </c>
      <c r="E408" t="s">
        <v>4388</v>
      </c>
      <c r="F408" t="s">
        <v>3308</v>
      </c>
      <c r="G408" t="s">
        <v>4389</v>
      </c>
    </row>
    <row r="409" spans="1:7" ht="11.25" customHeight="1">
      <c r="A409" t="s">
        <v>16</v>
      </c>
      <c r="B409" t="s">
        <v>4385</v>
      </c>
      <c r="C409" t="s">
        <v>4386</v>
      </c>
      <c r="D409" t="s">
        <v>4390</v>
      </c>
      <c r="E409" t="s">
        <v>4391</v>
      </c>
      <c r="F409" t="s">
        <v>3308</v>
      </c>
      <c r="G409" t="s">
        <v>4392</v>
      </c>
    </row>
    <row r="410" spans="1:7" ht="11.25" customHeight="1">
      <c r="A410" t="s">
        <v>16</v>
      </c>
      <c r="B410" t="s">
        <v>4385</v>
      </c>
      <c r="C410" t="s">
        <v>4386</v>
      </c>
      <c r="D410" t="s">
        <v>3987</v>
      </c>
      <c r="E410" t="s">
        <v>4393</v>
      </c>
      <c r="F410" t="s">
        <v>3308</v>
      </c>
      <c r="G410" t="s">
        <v>4394</v>
      </c>
    </row>
    <row r="411" spans="1:7" ht="11.25" customHeight="1">
      <c r="A411" t="s">
        <v>16</v>
      </c>
      <c r="B411" t="s">
        <v>4385</v>
      </c>
      <c r="C411" t="s">
        <v>4386</v>
      </c>
      <c r="D411" t="s">
        <v>4395</v>
      </c>
      <c r="E411" t="s">
        <v>4396</v>
      </c>
      <c r="F411" t="s">
        <v>3308</v>
      </c>
      <c r="G411" t="s">
        <v>4397</v>
      </c>
    </row>
    <row r="412" spans="1:7" ht="11.25" customHeight="1">
      <c r="A412" t="s">
        <v>16</v>
      </c>
      <c r="B412" t="s">
        <v>4385</v>
      </c>
      <c r="C412" t="s">
        <v>4386</v>
      </c>
      <c r="D412" t="s">
        <v>4398</v>
      </c>
      <c r="E412" t="s">
        <v>4399</v>
      </c>
      <c r="F412" t="s">
        <v>3308</v>
      </c>
      <c r="G412" t="s">
        <v>4400</v>
      </c>
    </row>
    <row r="413" spans="1:7" ht="11.25" customHeight="1">
      <c r="A413" t="s">
        <v>16</v>
      </c>
      <c r="B413" t="s">
        <v>4385</v>
      </c>
      <c r="C413" t="s">
        <v>4386</v>
      </c>
      <c r="D413" t="s">
        <v>4401</v>
      </c>
      <c r="E413" t="s">
        <v>4402</v>
      </c>
      <c r="F413" t="s">
        <v>3308</v>
      </c>
      <c r="G413" t="s">
        <v>4403</v>
      </c>
    </row>
    <row r="414" spans="1:7" ht="11.25" customHeight="1">
      <c r="A414" t="s">
        <v>16</v>
      </c>
      <c r="B414" t="s">
        <v>4385</v>
      </c>
      <c r="C414" t="s">
        <v>4386</v>
      </c>
      <c r="D414" t="s">
        <v>4404</v>
      </c>
      <c r="E414" t="s">
        <v>4405</v>
      </c>
      <c r="F414" t="s">
        <v>3308</v>
      </c>
      <c r="G414" t="s">
        <v>4406</v>
      </c>
    </row>
    <row r="415" spans="1:7" ht="11.25" customHeight="1">
      <c r="A415" t="s">
        <v>16</v>
      </c>
      <c r="B415" t="s">
        <v>4385</v>
      </c>
      <c r="C415" t="s">
        <v>4386</v>
      </c>
      <c r="D415" t="s">
        <v>4385</v>
      </c>
      <c r="E415" t="s">
        <v>4386</v>
      </c>
      <c r="F415" t="s">
        <v>3305</v>
      </c>
      <c r="G415" t="s">
        <v>4407</v>
      </c>
    </row>
    <row r="416" spans="1:7" ht="11.25" customHeight="1">
      <c r="A416" t="s">
        <v>16</v>
      </c>
      <c r="B416" t="s">
        <v>4385</v>
      </c>
      <c r="C416" t="s">
        <v>4386</v>
      </c>
      <c r="D416" t="s">
        <v>4408</v>
      </c>
      <c r="E416" t="s">
        <v>4409</v>
      </c>
      <c r="F416" t="s">
        <v>3688</v>
      </c>
      <c r="G416" t="s">
        <v>4410</v>
      </c>
    </row>
    <row r="417" spans="1:7" ht="11.25" customHeight="1">
      <c r="A417" t="s">
        <v>16</v>
      </c>
      <c r="B417" t="s">
        <v>4411</v>
      </c>
      <c r="C417" t="s">
        <v>4412</v>
      </c>
      <c r="D417" t="s">
        <v>3637</v>
      </c>
      <c r="E417" t="s">
        <v>4413</v>
      </c>
      <c r="F417" t="s">
        <v>3308</v>
      </c>
      <c r="G417" t="s">
        <v>4414</v>
      </c>
    </row>
    <row r="418" spans="1:7" ht="11.25" customHeight="1">
      <c r="A418" t="s">
        <v>16</v>
      </c>
      <c r="B418" t="s">
        <v>4411</v>
      </c>
      <c r="C418" t="s">
        <v>4412</v>
      </c>
      <c r="D418" t="s">
        <v>4415</v>
      </c>
      <c r="E418" t="s">
        <v>4416</v>
      </c>
      <c r="F418" t="s">
        <v>3308</v>
      </c>
      <c r="G418" t="s">
        <v>4417</v>
      </c>
    </row>
    <row r="419" spans="1:7" ht="11.25" customHeight="1">
      <c r="A419" t="s">
        <v>16</v>
      </c>
      <c r="B419" t="s">
        <v>4411</v>
      </c>
      <c r="C419" t="s">
        <v>4412</v>
      </c>
      <c r="D419" t="s">
        <v>3800</v>
      </c>
      <c r="E419" t="s">
        <v>4418</v>
      </c>
      <c r="F419" t="s">
        <v>3308</v>
      </c>
      <c r="G419" t="s">
        <v>4419</v>
      </c>
    </row>
    <row r="420" spans="1:7" ht="11.25" customHeight="1">
      <c r="A420" t="s">
        <v>16</v>
      </c>
      <c r="B420" t="s">
        <v>4411</v>
      </c>
      <c r="C420" t="s">
        <v>4412</v>
      </c>
      <c r="D420" t="s">
        <v>4420</v>
      </c>
      <c r="E420" t="s">
        <v>4421</v>
      </c>
      <c r="F420" t="s">
        <v>3308</v>
      </c>
      <c r="G420" t="s">
        <v>4422</v>
      </c>
    </row>
    <row r="421" spans="1:7" ht="11.25" customHeight="1">
      <c r="A421" t="s">
        <v>16</v>
      </c>
      <c r="B421" t="s">
        <v>4411</v>
      </c>
      <c r="C421" t="s">
        <v>4412</v>
      </c>
      <c r="D421" t="s">
        <v>4423</v>
      </c>
      <c r="E421" t="s">
        <v>4424</v>
      </c>
      <c r="F421" t="s">
        <v>3308</v>
      </c>
      <c r="G421" t="s">
        <v>4425</v>
      </c>
    </row>
    <row r="422" spans="1:7" ht="11.25" customHeight="1">
      <c r="A422" t="s">
        <v>16</v>
      </c>
      <c r="B422" t="s">
        <v>4411</v>
      </c>
      <c r="C422" t="s">
        <v>4412</v>
      </c>
      <c r="D422" t="s">
        <v>4426</v>
      </c>
      <c r="E422" t="s">
        <v>4427</v>
      </c>
      <c r="F422" t="s">
        <v>3308</v>
      </c>
      <c r="G422" t="s">
        <v>4428</v>
      </c>
    </row>
    <row r="423" spans="1:7" ht="11.25" customHeight="1">
      <c r="A423" t="s">
        <v>16</v>
      </c>
      <c r="B423" t="s">
        <v>4411</v>
      </c>
      <c r="C423" t="s">
        <v>4412</v>
      </c>
      <c r="D423" t="s">
        <v>4429</v>
      </c>
      <c r="E423" t="s">
        <v>4430</v>
      </c>
      <c r="F423" t="s">
        <v>3308</v>
      </c>
      <c r="G423" t="s">
        <v>4431</v>
      </c>
    </row>
    <row r="424" spans="1:7" ht="11.25" customHeight="1">
      <c r="A424" t="s">
        <v>16</v>
      </c>
      <c r="B424" t="s">
        <v>4411</v>
      </c>
      <c r="C424" t="s">
        <v>4412</v>
      </c>
      <c r="D424" t="s">
        <v>4411</v>
      </c>
      <c r="E424" t="s">
        <v>4412</v>
      </c>
      <c r="F424" t="s">
        <v>3305</v>
      </c>
      <c r="G424" t="s">
        <v>4432</v>
      </c>
    </row>
    <row r="425" spans="1:7" ht="11.25" customHeight="1">
      <c r="A425" t="s">
        <v>16</v>
      </c>
      <c r="B425" t="s">
        <v>4411</v>
      </c>
      <c r="C425" t="s">
        <v>4412</v>
      </c>
      <c r="D425" t="s">
        <v>4433</v>
      </c>
      <c r="E425" t="s">
        <v>4434</v>
      </c>
      <c r="F425" t="s">
        <v>3308</v>
      </c>
      <c r="G425" t="s">
        <v>4435</v>
      </c>
    </row>
    <row r="426" spans="1:7" ht="11.25" customHeight="1">
      <c r="A426" t="s">
        <v>16</v>
      </c>
      <c r="B426" t="s">
        <v>4411</v>
      </c>
      <c r="C426" t="s">
        <v>4412</v>
      </c>
      <c r="D426" t="s">
        <v>4271</v>
      </c>
      <c r="E426" t="s">
        <v>4436</v>
      </c>
      <c r="F426" t="s">
        <v>3308</v>
      </c>
      <c r="G426" t="s">
        <v>4437</v>
      </c>
    </row>
    <row r="427" spans="1:7" ht="11.25" customHeight="1">
      <c r="A427" t="s">
        <v>16</v>
      </c>
      <c r="B427" t="s">
        <v>4438</v>
      </c>
      <c r="C427" t="s">
        <v>4439</v>
      </c>
      <c r="D427" t="s">
        <v>3662</v>
      </c>
      <c r="E427" t="s">
        <v>4440</v>
      </c>
      <c r="F427" t="s">
        <v>3308</v>
      </c>
      <c r="G427" t="s">
        <v>4441</v>
      </c>
    </row>
    <row r="428" spans="1:7" ht="11.25" customHeight="1">
      <c r="A428" t="s">
        <v>16</v>
      </c>
      <c r="B428" t="s">
        <v>4438</v>
      </c>
      <c r="C428" t="s">
        <v>4439</v>
      </c>
      <c r="D428" t="s">
        <v>4442</v>
      </c>
      <c r="E428" t="s">
        <v>4443</v>
      </c>
      <c r="F428" t="s">
        <v>3308</v>
      </c>
      <c r="G428" t="s">
        <v>4444</v>
      </c>
    </row>
    <row r="429" spans="1:7" ht="11.25" customHeight="1">
      <c r="A429" t="s">
        <v>16</v>
      </c>
      <c r="B429" t="s">
        <v>4438</v>
      </c>
      <c r="C429" t="s">
        <v>4439</v>
      </c>
      <c r="D429" t="s">
        <v>4445</v>
      </c>
      <c r="E429" t="s">
        <v>4446</v>
      </c>
      <c r="F429" t="s">
        <v>3308</v>
      </c>
      <c r="G429" t="s">
        <v>4447</v>
      </c>
    </row>
    <row r="430" spans="1:7" ht="11.25" customHeight="1">
      <c r="A430" t="s">
        <v>16</v>
      </c>
      <c r="B430" t="s">
        <v>4438</v>
      </c>
      <c r="C430" t="s">
        <v>4439</v>
      </c>
      <c r="D430" t="s">
        <v>4448</v>
      </c>
      <c r="E430" t="s">
        <v>4449</v>
      </c>
      <c r="F430" t="s">
        <v>3308</v>
      </c>
      <c r="G430" t="s">
        <v>4450</v>
      </c>
    </row>
    <row r="431" spans="1:7" ht="11.25" customHeight="1">
      <c r="A431" t="s">
        <v>16</v>
      </c>
      <c r="B431" t="s">
        <v>4438</v>
      </c>
      <c r="C431" t="s">
        <v>4439</v>
      </c>
      <c r="D431" t="s">
        <v>4451</v>
      </c>
      <c r="E431" t="s">
        <v>4452</v>
      </c>
      <c r="F431" t="s">
        <v>3308</v>
      </c>
      <c r="G431" t="s">
        <v>4453</v>
      </c>
    </row>
    <row r="432" spans="1:7" ht="11.25" customHeight="1">
      <c r="A432" t="s">
        <v>16</v>
      </c>
      <c r="B432" t="s">
        <v>4438</v>
      </c>
      <c r="C432" t="s">
        <v>4439</v>
      </c>
      <c r="D432" t="s">
        <v>4454</v>
      </c>
      <c r="E432" t="s">
        <v>4455</v>
      </c>
      <c r="F432" t="s">
        <v>3308</v>
      </c>
      <c r="G432" t="s">
        <v>4456</v>
      </c>
    </row>
    <row r="433" spans="1:7" ht="11.25" customHeight="1">
      <c r="A433" t="s">
        <v>16</v>
      </c>
      <c r="B433" t="s">
        <v>4438</v>
      </c>
      <c r="C433" t="s">
        <v>4439</v>
      </c>
      <c r="D433" t="s">
        <v>4438</v>
      </c>
      <c r="E433" t="s">
        <v>4439</v>
      </c>
      <c r="F433" t="s">
        <v>3305</v>
      </c>
      <c r="G433" t="s">
        <v>4457</v>
      </c>
    </row>
    <row r="434" spans="1:7" ht="11.25" customHeight="1">
      <c r="A434" t="s">
        <v>16</v>
      </c>
      <c r="B434" t="s">
        <v>4438</v>
      </c>
      <c r="C434" t="s">
        <v>4439</v>
      </c>
      <c r="D434" t="s">
        <v>4458</v>
      </c>
      <c r="E434" t="s">
        <v>4459</v>
      </c>
      <c r="F434" t="s">
        <v>3345</v>
      </c>
      <c r="G434" t="s">
        <v>4460</v>
      </c>
    </row>
    <row r="435" spans="1:7" ht="11.25" customHeight="1">
      <c r="A435" t="s">
        <v>16</v>
      </c>
      <c r="B435" t="s">
        <v>4461</v>
      </c>
      <c r="C435" t="s">
        <v>4462</v>
      </c>
      <c r="D435" t="s">
        <v>4463</v>
      </c>
      <c r="E435" t="s">
        <v>4464</v>
      </c>
      <c r="F435" t="s">
        <v>3308</v>
      </c>
      <c r="G435" t="s">
        <v>4465</v>
      </c>
    </row>
    <row r="436" spans="1:7" ht="11.25" customHeight="1">
      <c r="A436" t="s">
        <v>16</v>
      </c>
      <c r="B436" t="s">
        <v>4461</v>
      </c>
      <c r="C436" t="s">
        <v>4462</v>
      </c>
      <c r="D436" t="s">
        <v>3602</v>
      </c>
      <c r="E436" t="s">
        <v>4466</v>
      </c>
      <c r="F436" t="s">
        <v>3308</v>
      </c>
      <c r="G436" t="s">
        <v>4467</v>
      </c>
    </row>
    <row r="437" spans="1:7" ht="11.25" customHeight="1">
      <c r="A437" t="s">
        <v>16</v>
      </c>
      <c r="B437" t="s">
        <v>4461</v>
      </c>
      <c r="C437" t="s">
        <v>4462</v>
      </c>
      <c r="D437" t="s">
        <v>4468</v>
      </c>
      <c r="E437" t="s">
        <v>4469</v>
      </c>
      <c r="F437" t="s">
        <v>3308</v>
      </c>
      <c r="G437" t="s">
        <v>4470</v>
      </c>
    </row>
    <row r="438" spans="1:7" ht="11.25" customHeight="1">
      <c r="A438" t="s">
        <v>16</v>
      </c>
      <c r="B438" t="s">
        <v>4461</v>
      </c>
      <c r="C438" t="s">
        <v>4462</v>
      </c>
      <c r="D438" t="s">
        <v>3640</v>
      </c>
      <c r="E438" t="s">
        <v>4471</v>
      </c>
      <c r="F438" t="s">
        <v>3308</v>
      </c>
      <c r="G438" t="s">
        <v>4472</v>
      </c>
    </row>
    <row r="439" spans="1:7" ht="11.25" customHeight="1">
      <c r="A439" t="s">
        <v>16</v>
      </c>
      <c r="B439" t="s">
        <v>4461</v>
      </c>
      <c r="C439" t="s">
        <v>4462</v>
      </c>
      <c r="D439" t="s">
        <v>4473</v>
      </c>
      <c r="E439" t="s">
        <v>4474</v>
      </c>
      <c r="F439" t="s">
        <v>3308</v>
      </c>
      <c r="G439" t="s">
        <v>4475</v>
      </c>
    </row>
    <row r="440" spans="1:7" ht="11.25" customHeight="1">
      <c r="A440" t="s">
        <v>16</v>
      </c>
      <c r="B440" t="s">
        <v>4461</v>
      </c>
      <c r="C440" t="s">
        <v>4462</v>
      </c>
      <c r="D440" t="s">
        <v>4476</v>
      </c>
      <c r="E440" t="s">
        <v>4477</v>
      </c>
      <c r="F440" t="s">
        <v>3308</v>
      </c>
      <c r="G440" t="s">
        <v>4478</v>
      </c>
    </row>
    <row r="441" spans="1:7" ht="11.25" customHeight="1">
      <c r="A441" t="s">
        <v>16</v>
      </c>
      <c r="B441" t="s">
        <v>4461</v>
      </c>
      <c r="C441" t="s">
        <v>4462</v>
      </c>
      <c r="D441" t="s">
        <v>4479</v>
      </c>
      <c r="E441" t="s">
        <v>4480</v>
      </c>
      <c r="F441" t="s">
        <v>3308</v>
      </c>
      <c r="G441" t="s">
        <v>4481</v>
      </c>
    </row>
    <row r="442" spans="1:7" ht="11.25" customHeight="1">
      <c r="A442" t="s">
        <v>16</v>
      </c>
      <c r="B442" t="s">
        <v>4461</v>
      </c>
      <c r="C442" t="s">
        <v>4462</v>
      </c>
      <c r="D442" t="s">
        <v>4482</v>
      </c>
      <c r="E442" t="s">
        <v>4483</v>
      </c>
      <c r="F442" t="s">
        <v>3308</v>
      </c>
      <c r="G442" t="s">
        <v>4484</v>
      </c>
    </row>
    <row r="443" spans="1:7" ht="11.25" customHeight="1">
      <c r="A443" t="s">
        <v>16</v>
      </c>
      <c r="B443" t="s">
        <v>4461</v>
      </c>
      <c r="C443" t="s">
        <v>4462</v>
      </c>
      <c r="D443" t="s">
        <v>4485</v>
      </c>
      <c r="E443" t="s">
        <v>4486</v>
      </c>
      <c r="F443" t="s">
        <v>3308</v>
      </c>
      <c r="G443" t="s">
        <v>4487</v>
      </c>
    </row>
    <row r="444" spans="1:7" ht="11.25" customHeight="1">
      <c r="A444" t="s">
        <v>16</v>
      </c>
      <c r="B444" t="s">
        <v>4461</v>
      </c>
      <c r="C444" t="s">
        <v>4462</v>
      </c>
      <c r="D444" t="s">
        <v>4488</v>
      </c>
      <c r="E444" t="s">
        <v>4489</v>
      </c>
      <c r="F444" t="s">
        <v>3308</v>
      </c>
      <c r="G444" t="s">
        <v>4490</v>
      </c>
    </row>
    <row r="445" spans="1:7" ht="11.25" customHeight="1">
      <c r="A445" t="s">
        <v>16</v>
      </c>
      <c r="B445" t="s">
        <v>4461</v>
      </c>
      <c r="C445" t="s">
        <v>4462</v>
      </c>
      <c r="D445" t="s">
        <v>4491</v>
      </c>
      <c r="E445" t="s">
        <v>4492</v>
      </c>
      <c r="F445" t="s">
        <v>3308</v>
      </c>
      <c r="G445" t="s">
        <v>4493</v>
      </c>
    </row>
    <row r="446" spans="1:7" ht="11.25" customHeight="1">
      <c r="A446" t="s">
        <v>16</v>
      </c>
      <c r="B446" t="s">
        <v>4461</v>
      </c>
      <c r="C446" t="s">
        <v>4462</v>
      </c>
      <c r="D446" t="s">
        <v>4461</v>
      </c>
      <c r="E446" t="s">
        <v>4462</v>
      </c>
      <c r="F446" t="s">
        <v>3305</v>
      </c>
      <c r="G446" t="s">
        <v>4494</v>
      </c>
    </row>
    <row r="447" spans="1:7" ht="11.25" customHeight="1">
      <c r="A447" t="s">
        <v>16</v>
      </c>
      <c r="B447" t="s">
        <v>4461</v>
      </c>
      <c r="C447" t="s">
        <v>4462</v>
      </c>
      <c r="D447" t="s">
        <v>4495</v>
      </c>
      <c r="E447" t="s">
        <v>4496</v>
      </c>
      <c r="F447" t="s">
        <v>3308</v>
      </c>
      <c r="G447" t="s">
        <v>4497</v>
      </c>
    </row>
    <row r="448" spans="1:7" ht="11.25" customHeight="1">
      <c r="A448" t="s">
        <v>16</v>
      </c>
      <c r="B448" t="s">
        <v>4461</v>
      </c>
      <c r="C448" t="s">
        <v>4462</v>
      </c>
      <c r="D448" t="s">
        <v>4498</v>
      </c>
      <c r="E448" t="s">
        <v>4499</v>
      </c>
      <c r="F448" t="s">
        <v>3308</v>
      </c>
      <c r="G448" t="s">
        <v>4500</v>
      </c>
    </row>
    <row r="449" spans="1:7" ht="11.25" customHeight="1">
      <c r="A449" t="s">
        <v>16</v>
      </c>
      <c r="B449" t="s">
        <v>4461</v>
      </c>
      <c r="C449" t="s">
        <v>4462</v>
      </c>
      <c r="D449" t="s">
        <v>4501</v>
      </c>
      <c r="E449" t="s">
        <v>4502</v>
      </c>
      <c r="F449" t="s">
        <v>3308</v>
      </c>
      <c r="G449" t="s">
        <v>4503</v>
      </c>
    </row>
    <row r="450" spans="1:7" ht="11.25" customHeight="1">
      <c r="A450" t="s">
        <v>16</v>
      </c>
      <c r="B450" t="s">
        <v>4504</v>
      </c>
      <c r="C450" t="s">
        <v>4505</v>
      </c>
      <c r="D450" t="s">
        <v>4506</v>
      </c>
      <c r="E450" t="s">
        <v>4507</v>
      </c>
      <c r="F450" t="s">
        <v>3308</v>
      </c>
      <c r="G450" t="s">
        <v>4508</v>
      </c>
    </row>
    <row r="451" spans="1:7" ht="11.25" customHeight="1">
      <c r="A451" t="s">
        <v>16</v>
      </c>
      <c r="B451" t="s">
        <v>4504</v>
      </c>
      <c r="C451" t="s">
        <v>4505</v>
      </c>
      <c r="D451" t="s">
        <v>4509</v>
      </c>
      <c r="E451" t="s">
        <v>4510</v>
      </c>
      <c r="F451" t="s">
        <v>3308</v>
      </c>
      <c r="G451" t="s">
        <v>4511</v>
      </c>
    </row>
    <row r="452" spans="1:7" ht="11.25" customHeight="1">
      <c r="A452" t="s">
        <v>16</v>
      </c>
      <c r="B452" t="s">
        <v>4504</v>
      </c>
      <c r="C452" t="s">
        <v>4505</v>
      </c>
      <c r="D452" t="s">
        <v>4512</v>
      </c>
      <c r="E452" t="s">
        <v>4513</v>
      </c>
      <c r="F452" t="s">
        <v>3308</v>
      </c>
      <c r="G452" t="s">
        <v>4514</v>
      </c>
    </row>
    <row r="453" spans="1:7" ht="11.25" customHeight="1">
      <c r="A453" t="s">
        <v>16</v>
      </c>
      <c r="B453" t="s">
        <v>4504</v>
      </c>
      <c r="C453" t="s">
        <v>4505</v>
      </c>
      <c r="D453" t="s">
        <v>4515</v>
      </c>
      <c r="E453" t="s">
        <v>4516</v>
      </c>
      <c r="F453" t="s">
        <v>3308</v>
      </c>
      <c r="G453" t="s">
        <v>4517</v>
      </c>
    </row>
    <row r="454" spans="1:7" ht="11.25" customHeight="1">
      <c r="A454" t="s">
        <v>16</v>
      </c>
      <c r="B454" t="s">
        <v>4504</v>
      </c>
      <c r="C454" t="s">
        <v>4505</v>
      </c>
      <c r="D454" t="s">
        <v>3662</v>
      </c>
      <c r="E454" t="s">
        <v>4518</v>
      </c>
      <c r="F454" t="s">
        <v>3308</v>
      </c>
      <c r="G454" t="s">
        <v>4519</v>
      </c>
    </row>
    <row r="455" spans="1:7" ht="11.25" customHeight="1">
      <c r="A455" t="s">
        <v>16</v>
      </c>
      <c r="B455" t="s">
        <v>4504</v>
      </c>
      <c r="C455" t="s">
        <v>4505</v>
      </c>
      <c r="D455" t="s">
        <v>4520</v>
      </c>
      <c r="E455" t="s">
        <v>4521</v>
      </c>
      <c r="F455" t="s">
        <v>3308</v>
      </c>
      <c r="G455" t="s">
        <v>4522</v>
      </c>
    </row>
    <row r="456" spans="1:7" ht="11.25" customHeight="1">
      <c r="A456" t="s">
        <v>16</v>
      </c>
      <c r="B456" t="s">
        <v>4504</v>
      </c>
      <c r="C456" t="s">
        <v>4505</v>
      </c>
      <c r="D456" t="s">
        <v>4523</v>
      </c>
      <c r="E456" t="s">
        <v>4524</v>
      </c>
      <c r="F456" t="s">
        <v>3308</v>
      </c>
      <c r="G456" t="s">
        <v>4525</v>
      </c>
    </row>
    <row r="457" spans="1:7" ht="11.25" customHeight="1">
      <c r="A457" t="s">
        <v>16</v>
      </c>
      <c r="B457" t="s">
        <v>4504</v>
      </c>
      <c r="C457" t="s">
        <v>4505</v>
      </c>
      <c r="D457" t="s">
        <v>4526</v>
      </c>
      <c r="E457" t="s">
        <v>4527</v>
      </c>
      <c r="F457" t="s">
        <v>3308</v>
      </c>
      <c r="G457" t="s">
        <v>4528</v>
      </c>
    </row>
    <row r="458" spans="1:7" ht="11.25" customHeight="1">
      <c r="A458" t="s">
        <v>16</v>
      </c>
      <c r="B458" t="s">
        <v>4504</v>
      </c>
      <c r="C458" t="s">
        <v>4505</v>
      </c>
      <c r="D458" t="s">
        <v>4529</v>
      </c>
      <c r="E458" t="s">
        <v>4530</v>
      </c>
      <c r="F458" t="s">
        <v>3308</v>
      </c>
      <c r="G458" t="s">
        <v>4531</v>
      </c>
    </row>
    <row r="459" spans="1:7" ht="11.25" customHeight="1">
      <c r="A459" t="s">
        <v>16</v>
      </c>
      <c r="B459" t="s">
        <v>4504</v>
      </c>
      <c r="C459" t="s">
        <v>4505</v>
      </c>
      <c r="D459" t="s">
        <v>4504</v>
      </c>
      <c r="E459" t="s">
        <v>4505</v>
      </c>
      <c r="F459" t="s">
        <v>3305</v>
      </c>
      <c r="G459" t="s">
        <v>4532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4585</v>
      </c>
      <c r="B1" s="766" t="s">
        <v>4586</v>
      </c>
      <c r="C1" s="766" t="s">
        <v>1242</v>
      </c>
    </row>
    <row r="2" spans="1:3" ht="11.25" customHeight="1">
      <c r="A2" s="766">
        <v>4189678</v>
      </c>
      <c r="B2" s="766" t="s">
        <v>4587</v>
      </c>
      <c r="C2" s="766" t="s">
        <v>4588</v>
      </c>
    </row>
    <row r="3" spans="1:3" ht="11.25" customHeight="1">
      <c r="A3" s="766">
        <v>4190415</v>
      </c>
      <c r="B3" s="766" t="s">
        <v>4589</v>
      </c>
      <c r="C3" s="766" t="s">
        <v>4588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4590</v>
      </c>
      <c r="B1" s="100" t="s">
        <v>4591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4592</v>
      </c>
      <c r="B1" t="b">
        <v>1</v>
      </c>
    </row>
    <row r="2" spans="1:2" ht="11.25" customHeight="1">
      <c r="A2" t="s">
        <v>4593</v>
      </c>
      <c r="B2" t="b">
        <v>0</v>
      </c>
    </row>
    <row r="3" spans="1:2" ht="11.25" customHeight="1">
      <c r="A3" t="s">
        <v>4594</v>
      </c>
      <c r="B3" t="b">
        <v>0</v>
      </c>
    </row>
    <row r="4" spans="1:2" ht="11.25" customHeight="1">
      <c r="A4" t="s">
        <v>4595</v>
      </c>
      <c r="B4" t="b">
        <v>1</v>
      </c>
    </row>
    <row r="5" spans="1:2" ht="11.25" customHeight="1">
      <c r="A5" t="s">
        <v>4596</v>
      </c>
      <c r="B5" t="b">
        <v>0</v>
      </c>
    </row>
    <row r="6" spans="1:2" ht="11.25" customHeight="1">
      <c r="A6" t="s">
        <v>4597</v>
      </c>
      <c r="B6" t="b">
        <v>0</v>
      </c>
    </row>
    <row r="7" spans="1:2" ht="11.25" customHeight="1">
      <c r="A7" t="s">
        <v>4598</v>
      </c>
      <c r="B7" t="b">
        <v>0</v>
      </c>
    </row>
    <row r="8" spans="1:2" ht="11.25" customHeight="1">
      <c r="A8" t="s">
        <v>4599</v>
      </c>
      <c r="B8" t="b">
        <v>0</v>
      </c>
    </row>
    <row r="9" spans="1:2" ht="11.25" customHeight="1">
      <c r="A9" t="s">
        <v>4600</v>
      </c>
      <c r="B9" t="b">
        <v>1</v>
      </c>
    </row>
    <row r="10" spans="1:2" ht="11.25" customHeight="1">
      <c r="A10" t="s">
        <v>4601</v>
      </c>
      <c r="B10" t="b">
        <v>0</v>
      </c>
    </row>
    <row r="11" spans="1:2" ht="11.25" customHeight="1">
      <c r="A11" t="s">
        <v>4602</v>
      </c>
      <c r="B11" t="b">
        <v>0</v>
      </c>
    </row>
    <row r="12" spans="1:2" ht="11.25" customHeight="1">
      <c r="A12" t="s">
        <v>4603</v>
      </c>
      <c r="B12" t="b">
        <v>0</v>
      </c>
    </row>
    <row r="13" spans="1:2" ht="11.25" customHeight="1">
      <c r="A13" t="s">
        <v>4604</v>
      </c>
      <c r="B13" t="b">
        <v>0</v>
      </c>
    </row>
    <row r="14" spans="1:2" ht="11.25" customHeight="1">
      <c r="A14" t="s">
        <v>4605</v>
      </c>
      <c r="B14" t="b">
        <v>0</v>
      </c>
    </row>
    <row r="15" spans="1:2" ht="11.25" customHeight="1">
      <c r="A15" t="s">
        <v>4606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4607</v>
      </c>
      <c r="B1" s="6" t="s">
        <v>4608</v>
      </c>
    </row>
    <row r="2" spans="1:2" ht="11.25" customHeight="1">
      <c r="A2" s="3" t="s">
        <v>4609</v>
      </c>
      <c r="B2" s="3" t="s">
        <v>4610</v>
      </c>
    </row>
    <row r="3" spans="1:2" ht="11.25" customHeight="1">
      <c r="A3" s="3" t="s">
        <v>4611</v>
      </c>
      <c r="B3" s="3" t="s">
        <v>4612</v>
      </c>
    </row>
    <row r="4" spans="1:2" ht="11.25" customHeight="1">
      <c r="A4" s="3" t="s">
        <v>4613</v>
      </c>
      <c r="B4" s="3" t="s">
        <v>4614</v>
      </c>
    </row>
    <row r="5" spans="1:2" ht="11.25" customHeight="1">
      <c r="A5" s="3" t="s">
        <v>4615</v>
      </c>
      <c r="B5" s="3" t="s">
        <v>4616</v>
      </c>
    </row>
    <row r="6" spans="1:2" ht="11.25" customHeight="1">
      <c r="A6" s="3" t="s">
        <v>4617</v>
      </c>
      <c r="B6" s="3" t="s">
        <v>4618</v>
      </c>
    </row>
    <row r="7" spans="1:2" ht="11.25" customHeight="1">
      <c r="A7" s="3" t="s">
        <v>4619</v>
      </c>
      <c r="B7" s="3" t="s">
        <v>4620</v>
      </c>
    </row>
    <row r="8" spans="1:2" ht="11.25" customHeight="1">
      <c r="A8" s="3" t="s">
        <v>4621</v>
      </c>
      <c r="B8" s="3" t="s">
        <v>4622</v>
      </c>
    </row>
    <row r="9" spans="1:2" ht="11.25" customHeight="1">
      <c r="A9" s="3" t="s">
        <v>4623</v>
      </c>
      <c r="B9" s="3" t="s">
        <v>4624</v>
      </c>
    </row>
    <row r="10" spans="1:2" ht="11.25" customHeight="1">
      <c r="A10" s="3" t="s">
        <v>4625</v>
      </c>
      <c r="B10" s="3" t="s">
        <v>4626</v>
      </c>
    </row>
    <row r="11" spans="1:2" ht="11.25" customHeight="1">
      <c r="A11" s="3" t="s">
        <v>4627</v>
      </c>
      <c r="B11" s="3" t="s">
        <v>4628</v>
      </c>
    </row>
    <row r="12" spans="1:2" ht="11.25" customHeight="1">
      <c r="A12" s="3" t="s">
        <v>4629</v>
      </c>
      <c r="B12" s="3" t="s">
        <v>4630</v>
      </c>
    </row>
    <row r="13" spans="1:2" ht="11.25" customHeight="1">
      <c r="A13" s="3" t="s">
        <v>4631</v>
      </c>
      <c r="B13" s="3" t="s">
        <v>4632</v>
      </c>
    </row>
    <row r="14" spans="1:2" ht="11.25" customHeight="1">
      <c r="A14" s="3" t="s">
        <v>4633</v>
      </c>
      <c r="B14" s="3" t="s">
        <v>4634</v>
      </c>
    </row>
    <row r="15" spans="1:2" ht="11.25" customHeight="1">
      <c r="A15" s="3" t="s">
        <v>4635</v>
      </c>
      <c r="B15" s="3" t="s">
        <v>4636</v>
      </c>
    </row>
    <row r="16" spans="1:2" ht="11.25" customHeight="1">
      <c r="A16" s="3" t="s">
        <v>4637</v>
      </c>
      <c r="B16" s="3" t="s">
        <v>4638</v>
      </c>
    </row>
    <row r="17" spans="1:2" ht="11.25" customHeight="1">
      <c r="A17" s="3" t="s">
        <v>4639</v>
      </c>
      <c r="B17" s="3" t="s">
        <v>4640</v>
      </c>
    </row>
    <row r="18" spans="1:2" ht="11.25" customHeight="1">
      <c r="A18" s="3" t="s">
        <v>4641</v>
      </c>
      <c r="B18" s="3" t="s">
        <v>4642</v>
      </c>
    </row>
    <row r="19" spans="1:2" ht="11.25" customHeight="1">
      <c r="A19" s="3" t="s">
        <v>4643</v>
      </c>
      <c r="B19" s="3" t="s">
        <v>4644</v>
      </c>
    </row>
    <row r="20" spans="1:2" ht="11.25" customHeight="1">
      <c r="A20" s="3" t="s">
        <v>4645</v>
      </c>
      <c r="B20" s="3" t="s">
        <v>4646</v>
      </c>
    </row>
    <row r="21" spans="1:2" ht="11.25" customHeight="1">
      <c r="A21" s="3" t="s">
        <v>4647</v>
      </c>
      <c r="B21" s="3" t="s">
        <v>4648</v>
      </c>
    </row>
    <row r="22" spans="1:2" ht="11.25" customHeight="1">
      <c r="A22" s="3" t="s">
        <v>4649</v>
      </c>
      <c r="B22" s="3" t="s">
        <v>4650</v>
      </c>
    </row>
    <row r="23" spans="1:2" ht="11.25" customHeight="1">
      <c r="A23" s="3" t="s">
        <v>4651</v>
      </c>
      <c r="B23" s="3" t="s">
        <v>4652</v>
      </c>
    </row>
    <row r="24" spans="1:2" ht="11.25" customHeight="1">
      <c r="A24" s="3" t="s">
        <v>4653</v>
      </c>
      <c r="B24" s="3" t="s">
        <v>4654</v>
      </c>
    </row>
    <row r="25" spans="1:2" ht="11.25" customHeight="1">
      <c r="A25" s="3" t="s">
        <v>4655</v>
      </c>
      <c r="B25" s="3" t="s">
        <v>4656</v>
      </c>
    </row>
    <row r="26" spans="1:2" ht="11.25" customHeight="1">
      <c r="A26" s="3" t="s">
        <v>4657</v>
      </c>
      <c r="B26" s="3" t="s">
        <v>4658</v>
      </c>
    </row>
    <row r="27" spans="1:2" ht="11.25" customHeight="1">
      <c r="A27" s="3" t="s">
        <v>4659</v>
      </c>
      <c r="B27" s="3" t="s">
        <v>4660</v>
      </c>
    </row>
    <row r="28" spans="1:2" ht="11.25" customHeight="1">
      <c r="A28" s="3" t="s">
        <v>4661</v>
      </c>
      <c r="B28" s="3" t="s">
        <v>4662</v>
      </c>
    </row>
    <row r="29" spans="1:2" ht="11.25" customHeight="1">
      <c r="A29" s="3" t="s">
        <v>4663</v>
      </c>
      <c r="B29" s="3" t="s">
        <v>4664</v>
      </c>
    </row>
    <row r="30" spans="1:2" ht="11.25" customHeight="1">
      <c r="A30" s="3" t="s">
        <v>4665</v>
      </c>
      <c r="B30" s="3" t="s">
        <v>4666</v>
      </c>
    </row>
    <row r="31" spans="1:2" ht="11.25" customHeight="1">
      <c r="A31" s="3" t="s">
        <v>4667</v>
      </c>
      <c r="B31" s="3" t="s">
        <v>4668</v>
      </c>
    </row>
    <row r="32" spans="1:2" ht="11.25" customHeight="1">
      <c r="A32" s="3" t="s">
        <v>4669</v>
      </c>
      <c r="B32" s="3" t="s">
        <v>4670</v>
      </c>
    </row>
    <row r="33" spans="1:2" ht="11.25" customHeight="1">
      <c r="A33" s="3" t="s">
        <v>4671</v>
      </c>
      <c r="B33" s="3" t="s">
        <v>4672</v>
      </c>
    </row>
    <row r="34" spans="1:2" ht="11.25" customHeight="1">
      <c r="A34" s="3" t="s">
        <v>4673</v>
      </c>
      <c r="B34" s="3" t="s">
        <v>4674</v>
      </c>
    </row>
    <row r="35" spans="1:2" ht="11.25" customHeight="1">
      <c r="A35" s="3" t="s">
        <v>4675</v>
      </c>
      <c r="B35" s="3" t="s">
        <v>4676</v>
      </c>
    </row>
    <row r="36" spans="1:2" ht="11.25" customHeight="1">
      <c r="A36" s="3" t="s">
        <v>4677</v>
      </c>
      <c r="B36" s="3" t="s">
        <v>4678</v>
      </c>
    </row>
    <row r="37" spans="1:2" ht="11.25" customHeight="1">
      <c r="A37" s="3" t="s">
        <v>4679</v>
      </c>
      <c r="B37" s="3" t="s">
        <v>4680</v>
      </c>
    </row>
    <row r="38" spans="1:2" ht="11.25" customHeight="1">
      <c r="A38" s="3" t="s">
        <v>4681</v>
      </c>
      <c r="B38" s="3" t="s">
        <v>4682</v>
      </c>
    </row>
    <row r="39" spans="1:2" ht="11.25" customHeight="1">
      <c r="A39" s="3" t="s">
        <v>4683</v>
      </c>
      <c r="B39" s="3" t="s">
        <v>4684</v>
      </c>
    </row>
    <row r="40" spans="1:2" ht="11.25" customHeight="1">
      <c r="A40" s="3" t="s">
        <v>4685</v>
      </c>
      <c r="B40" s="3" t="s">
        <v>4686</v>
      </c>
    </row>
    <row r="41" spans="1:2" ht="11.25" customHeight="1">
      <c r="A41" s="3" t="s">
        <v>4687</v>
      </c>
      <c r="B41" s="3" t="s">
        <v>4688</v>
      </c>
    </row>
    <row r="42" spans="1:2" ht="11.25" customHeight="1">
      <c r="A42" s="3" t="s">
        <v>4689</v>
      </c>
      <c r="B42" s="3" t="s">
        <v>4690</v>
      </c>
    </row>
    <row r="43" spans="1:2" ht="11.25" customHeight="1">
      <c r="A43" s="3" t="s">
        <v>4691</v>
      </c>
      <c r="B43" s="3" t="s">
        <v>4692</v>
      </c>
    </row>
    <row r="44" spans="1:2" ht="11.25" customHeight="1">
      <c r="A44" s="3" t="s">
        <v>4693</v>
      </c>
      <c r="B44" s="3" t="s">
        <v>4694</v>
      </c>
    </row>
    <row r="45" spans="1:2" ht="11.25" customHeight="1">
      <c r="A45" s="3" t="s">
        <v>4695</v>
      </c>
      <c r="B45" s="3" t="s">
        <v>4696</v>
      </c>
    </row>
    <row r="46" spans="1:2" ht="11.25" customHeight="1">
      <c r="A46" s="3" t="s">
        <v>4697</v>
      </c>
      <c r="B46" s="3" t="s">
        <v>4698</v>
      </c>
    </row>
    <row r="47" spans="1:2" ht="11.25" customHeight="1">
      <c r="A47" s="3" t="s">
        <v>4699</v>
      </c>
      <c r="B47" s="3" t="s">
        <v>4700</v>
      </c>
    </row>
    <row r="48" spans="1:2" ht="11.25" customHeight="1">
      <c r="A48" s="3" t="s">
        <v>4701</v>
      </c>
      <c r="B48" s="3" t="s">
        <v>4702</v>
      </c>
    </row>
    <row r="49" spans="1:2" ht="11.25" customHeight="1">
      <c r="A49" s="3" t="s">
        <v>4703</v>
      </c>
      <c r="B49" s="3" t="s">
        <v>4704</v>
      </c>
    </row>
    <row r="50" spans="1:2" ht="11.25" customHeight="1">
      <c r="A50" s="3" t="s">
        <v>4705</v>
      </c>
      <c r="B50" s="3" t="s">
        <v>4706</v>
      </c>
    </row>
    <row r="51" spans="1:2" ht="11.25" customHeight="1">
      <c r="A51" s="3" t="s">
        <v>4707</v>
      </c>
      <c r="B51" s="3" t="s">
        <v>4708</v>
      </c>
    </row>
    <row r="52" spans="1:2" ht="11.25" customHeight="1">
      <c r="A52" s="3" t="s">
        <v>4709</v>
      </c>
      <c r="B52" s="3" t="s">
        <v>4710</v>
      </c>
    </row>
    <row r="53" spans="1:2" ht="11.25" customHeight="1">
      <c r="A53" s="3" t="s">
        <v>4711</v>
      </c>
      <c r="B53" s="3" t="s">
        <v>4712</v>
      </c>
    </row>
    <row r="54" spans="1:2" ht="11.25" customHeight="1">
      <c r="A54" s="3" t="s">
        <v>4713</v>
      </c>
      <c r="B54" s="3" t="s">
        <v>4714</v>
      </c>
    </row>
    <row r="55" spans="1:2" ht="11.25" customHeight="1">
      <c r="A55" s="3" t="s">
        <v>4715</v>
      </c>
      <c r="B55" s="3" t="s">
        <v>4716</v>
      </c>
    </row>
    <row r="56" spans="1:2" ht="11.25" customHeight="1">
      <c r="A56" s="3" t="s">
        <v>4717</v>
      </c>
      <c r="B56" s="3" t="s">
        <v>4718</v>
      </c>
    </row>
    <row r="57" spans="1:2" ht="11.25" customHeight="1">
      <c r="A57" s="3" t="s">
        <v>4719</v>
      </c>
      <c r="B57" s="3" t="s">
        <v>4720</v>
      </c>
    </row>
    <row r="58" spans="1:2" ht="11.25" customHeight="1">
      <c r="A58" s="3" t="s">
        <v>4721</v>
      </c>
      <c r="B58" s="3" t="s">
        <v>4722</v>
      </c>
    </row>
    <row r="59" spans="1:2" ht="11.25" customHeight="1">
      <c r="A59" s="3" t="s">
        <v>4723</v>
      </c>
      <c r="B59" s="3" t="s">
        <v>4724</v>
      </c>
    </row>
    <row r="60" spans="1:2" ht="11.25" customHeight="1">
      <c r="A60" s="3" t="s">
        <v>4725</v>
      </c>
      <c r="B60" s="3" t="s">
        <v>4726</v>
      </c>
    </row>
    <row r="61" spans="1:2" ht="11.25" customHeight="1">
      <c r="A61" s="3"/>
      <c r="B61" s="3" t="s">
        <v>4727</v>
      </c>
    </row>
    <row r="62" spans="1:2" ht="11.25" customHeight="1">
      <c r="A62" s="3"/>
      <c r="B62" s="3" t="s">
        <v>4728</v>
      </c>
    </row>
    <row r="63" spans="1:2" ht="11.25" customHeight="1">
      <c r="A63" s="3"/>
      <c r="B63" s="3" t="s">
        <v>4729</v>
      </c>
    </row>
    <row r="64" spans="1:2" ht="11.25" customHeight="1">
      <c r="A64" s="3"/>
      <c r="B64" s="3" t="s">
        <v>4730</v>
      </c>
    </row>
    <row r="65" spans="1:2" ht="11.25" customHeight="1">
      <c r="A65" s="3"/>
      <c r="B65" s="3" t="s">
        <v>4731</v>
      </c>
    </row>
    <row r="66" spans="1:2" ht="11.25" customHeight="1">
      <c r="A66" s="3"/>
      <c r="B66" s="3" t="s">
        <v>4732</v>
      </c>
    </row>
    <row r="67" spans="1:2" ht="11.25" customHeight="1">
      <c r="A67" s="3"/>
      <c r="B67" s="3" t="s">
        <v>4733</v>
      </c>
    </row>
    <row r="68" spans="1:2" ht="11.25" customHeight="1">
      <c r="A68" s="3"/>
      <c r="B68" s="3" t="s">
        <v>4734</v>
      </c>
    </row>
    <row r="69" spans="1:2" ht="11.25" customHeight="1">
      <c r="A69" s="3"/>
      <c r="B69" s="3" t="s">
        <v>4735</v>
      </c>
    </row>
    <row r="70" spans="1:2" ht="11.25" customHeight="1">
      <c r="A70" s="3"/>
      <c r="B70" s="3" t="s">
        <v>4736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4737</v>
      </c>
    </row>
    <row r="2" spans="2:4" ht="90" customHeight="1">
      <c r="B2" s="33" t="s">
        <v>4738</v>
      </c>
    </row>
    <row r="3" spans="2:4" ht="67.5" customHeight="1">
      <c r="B3" s="33" t="s">
        <v>4739</v>
      </c>
    </row>
    <row r="4" spans="2:4" ht="33.75" customHeight="1">
      <c r="B4" s="33" t="s">
        <v>4740</v>
      </c>
    </row>
    <row r="5" spans="2:4" ht="11.25" customHeight="1">
      <c r="B5" s="33" t="s">
        <v>4741</v>
      </c>
    </row>
    <row r="6" spans="2:4" ht="22.5" customHeight="1">
      <c r="B6" s="33" t="s">
        <v>4742</v>
      </c>
    </row>
    <row r="7" spans="2:4" ht="22.5" customHeight="1">
      <c r="B7" s="33" t="s">
        <v>4743</v>
      </c>
    </row>
    <row r="8" spans="2:4" ht="22.5" customHeight="1">
      <c r="B8" s="33" t="s">
        <v>4744</v>
      </c>
    </row>
    <row r="9" spans="2:4" ht="22.5" customHeight="1">
      <c r="B9" s="33" t="s">
        <v>4745</v>
      </c>
    </row>
    <row r="10" spans="2:4" ht="56.25" customHeight="1">
      <c r="B10" s="33" t="s">
        <v>4746</v>
      </c>
    </row>
    <row r="11" spans="2:4" ht="12.75" customHeight="1">
      <c r="B11" s="96" t="s">
        <v>4747</v>
      </c>
    </row>
    <row r="12" spans="2:4" ht="11.25" customHeight="1">
      <c r="B12" s="32" t="s">
        <v>4748</v>
      </c>
    </row>
    <row r="13" spans="2:4" ht="22.5" customHeight="1">
      <c r="B13" s="33" t="s">
        <v>4749</v>
      </c>
    </row>
    <row r="14" spans="2:4" ht="67.5" customHeight="1">
      <c r="B14" s="33" t="s">
        <v>4750</v>
      </c>
    </row>
    <row r="15" spans="2:4" ht="22.5" customHeight="1">
      <c r="B15" s="33" t="s">
        <v>4751</v>
      </c>
    </row>
    <row r="16" spans="2:4" ht="11.25" customHeight="1">
      <c r="B16" s="32" t="s">
        <v>4752</v>
      </c>
      <c r="D16" s="39"/>
    </row>
    <row r="17" spans="1:2" ht="33.75" customHeight="1">
      <c r="B17" s="33" t="s">
        <v>4753</v>
      </c>
    </row>
    <row r="18" spans="1:2" ht="33.75" customHeight="1">
      <c r="B18" s="33" t="s">
        <v>4754</v>
      </c>
    </row>
    <row r="19" spans="1:2" ht="11.25" customHeight="1">
      <c r="B19" s="33" t="s">
        <v>4755</v>
      </c>
    </row>
    <row r="20" spans="1:2" ht="33.75" customHeight="1">
      <c r="B20" s="33" t="s">
        <v>4756</v>
      </c>
    </row>
    <row r="21" spans="1:2" ht="11.25" customHeight="1">
      <c r="B21" s="32" t="s">
        <v>4757</v>
      </c>
    </row>
    <row r="22" spans="1:2" ht="11.25" customHeight="1">
      <c r="B22" s="33" t="s">
        <v>4758</v>
      </c>
    </row>
    <row r="24" spans="1:2" ht="22.5" customHeight="1">
      <c r="B24" s="98" t="s">
        <v>4759</v>
      </c>
    </row>
    <row r="26" spans="1:2" ht="11.25" customHeight="1">
      <c r="B26" s="32" t="s">
        <v>4760</v>
      </c>
    </row>
    <row r="27" spans="1:2" ht="22.5" customHeight="1">
      <c r="B27" s="97" t="s">
        <v>476</v>
      </c>
    </row>
    <row r="28" spans="1:2" ht="56.25" customHeight="1">
      <c r="B28" s="97" t="s">
        <v>4761</v>
      </c>
    </row>
    <row r="29" spans="1:2" ht="11.25" customHeight="1">
      <c r="B29" s="147" t="s">
        <v>4762</v>
      </c>
    </row>
    <row r="30" spans="1:2" ht="22.5" customHeight="1">
      <c r="B30" s="97" t="s">
        <v>4763</v>
      </c>
    </row>
    <row r="32" spans="1:2" ht="11.25" customHeight="1">
      <c r="A32" s="125"/>
      <c r="B32" s="126" t="s">
        <v>4764</v>
      </c>
    </row>
    <row r="33" spans="1:2" ht="14.25" customHeight="1">
      <c r="A33" s="127">
        <v>1</v>
      </c>
      <c r="B33" s="128" t="s">
        <v>4765</v>
      </c>
    </row>
    <row r="34" spans="1:2" ht="14.25" customHeight="1">
      <c r="A34" s="127">
        <v>2</v>
      </c>
      <c r="B34" s="128" t="s">
        <v>4766</v>
      </c>
    </row>
    <row r="35" spans="1:2" ht="11.25" customHeight="1">
      <c r="B35" s="126" t="s">
        <v>4767</v>
      </c>
    </row>
    <row r="36" spans="1:2" ht="11.25" customHeight="1">
      <c r="B36" s="128" t="s">
        <v>4768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446" t="s">
        <v>432</v>
      </c>
      <c r="I1" s="2446"/>
      <c r="V1" s="1534" t="s">
        <v>14</v>
      </c>
    </row>
    <row r="2" spans="1:22" s="1562" customFormat="1" ht="14.25" hidden="1" customHeight="1">
      <c r="C2" s="1546"/>
      <c r="D2" s="2583" t="s">
        <v>177</v>
      </c>
      <c r="E2" s="2585"/>
      <c r="F2" s="1552"/>
      <c r="G2" s="1547" t="s">
        <v>177</v>
      </c>
      <c r="H2" s="1550"/>
      <c r="I2" s="1548"/>
      <c r="L2" s="1549"/>
      <c r="M2" s="1549"/>
      <c r="N2" s="1549"/>
      <c r="O2" s="1549" t="s">
        <v>462</v>
      </c>
      <c r="P2" s="1549"/>
      <c r="Q2" s="1549"/>
      <c r="R2" s="1551" t="s">
        <v>461</v>
      </c>
      <c r="S2" s="1551" t="s">
        <v>461</v>
      </c>
      <c r="T2" s="1549"/>
      <c r="U2" s="1549"/>
      <c r="V2" s="1545">
        <v>0</v>
      </c>
    </row>
    <row r="3" spans="1:22" s="1562" customFormat="1" ht="14.25" hidden="1" customHeight="1">
      <c r="C3" s="1546"/>
      <c r="D3" s="2584"/>
      <c r="E3" s="2586"/>
      <c r="F3" s="342"/>
      <c r="G3" s="800"/>
      <c r="H3" s="800" t="s">
        <v>463</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436</v>
      </c>
      <c r="I5" s="639"/>
      <c r="J5" s="639"/>
      <c r="L5" s="1541"/>
      <c r="M5" s="1541"/>
      <c r="N5" s="1541"/>
      <c r="O5" s="1541"/>
      <c r="P5" s="1541"/>
      <c r="Q5" s="1541"/>
      <c r="R5" s="1541"/>
      <c r="S5" s="1541"/>
      <c r="T5" s="1541"/>
      <c r="U5" s="1541"/>
      <c r="V5" s="1540">
        <v>5</v>
      </c>
    </row>
    <row r="6" spans="1:22" ht="29.25" customHeight="1">
      <c r="C6" s="1443"/>
      <c r="D6" s="2582" t="s">
        <v>464</v>
      </c>
      <c r="E6" s="2582"/>
      <c r="F6" s="2582"/>
      <c r="G6" s="2582"/>
      <c r="H6" s="2582"/>
      <c r="I6" s="2582"/>
      <c r="J6" s="428"/>
      <c r="K6" s="1542"/>
      <c r="V6" s="1534">
        <v>28</v>
      </c>
    </row>
    <row r="7" spans="1:22" ht="18" customHeight="1">
      <c r="C7" s="1443"/>
      <c r="D7" s="255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555"/>
      <c r="F7" s="2555"/>
      <c r="G7" s="2555"/>
      <c r="H7" s="2555"/>
      <c r="I7" s="255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568" t="s">
        <v>380</v>
      </c>
      <c r="E10" s="2580"/>
      <c r="F10" s="2580"/>
      <c r="G10" s="2580"/>
      <c r="H10" s="2580"/>
      <c r="I10" s="2580"/>
      <c r="J10" s="2518" t="s">
        <v>381</v>
      </c>
      <c r="V10" s="1534">
        <v>14</v>
      </c>
    </row>
    <row r="11" spans="1:22" ht="27.4" customHeight="1">
      <c r="C11" s="1443"/>
      <c r="D11" s="2461" t="s">
        <v>88</v>
      </c>
      <c r="E11" s="2518" t="s">
        <v>173</v>
      </c>
      <c r="F11" s="2536" t="s">
        <v>88</v>
      </c>
      <c r="G11" s="2537"/>
      <c r="H11" s="2535" t="s">
        <v>465</v>
      </c>
      <c r="I11" s="2535" t="s">
        <v>466</v>
      </c>
      <c r="J11" s="2518"/>
      <c r="V11" s="1534">
        <v>26</v>
      </c>
    </row>
    <row r="12" spans="1:22" ht="14.65" customHeight="1">
      <c r="C12" s="1443"/>
      <c r="D12" s="2461"/>
      <c r="E12" s="2518"/>
      <c r="F12" s="2541"/>
      <c r="G12" s="2542"/>
      <c r="H12" s="2587"/>
      <c r="I12" s="2587"/>
      <c r="J12" s="2518"/>
      <c r="V12" s="1534">
        <v>14</v>
      </c>
    </row>
    <row r="13" spans="1:22" s="1568" customFormat="1" ht="11.25" hidden="1" customHeight="1">
      <c r="C13" s="435"/>
      <c r="D13" s="436" t="s">
        <v>456</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583" t="s">
        <v>177</v>
      </c>
      <c r="E14" s="2585"/>
      <c r="F14" s="1544"/>
      <c r="G14" s="1543" t="s">
        <v>177</v>
      </c>
      <c r="H14" s="1550"/>
      <c r="I14" s="1548"/>
      <c r="J14" s="2505" t="s">
        <v>467</v>
      </c>
      <c r="K14" s="1534"/>
      <c r="R14" s="437" t="s">
        <v>461</v>
      </c>
      <c r="S14" s="437" t="s">
        <v>461</v>
      </c>
      <c r="V14" s="1534">
        <v>14</v>
      </c>
    </row>
    <row r="15" spans="1:22" ht="14.65" customHeight="1">
      <c r="A15" s="1534"/>
      <c r="C15" s="1443"/>
      <c r="D15" s="2584"/>
      <c r="E15" s="2586"/>
      <c r="F15" s="342"/>
      <c r="G15" s="800"/>
      <c r="H15" s="800" t="s">
        <v>463</v>
      </c>
      <c r="I15" s="250"/>
      <c r="J15" s="2506"/>
      <c r="K15" s="1534"/>
      <c r="R15" s="437"/>
      <c r="S15" s="437"/>
      <c r="V15" s="1534">
        <v>14</v>
      </c>
    </row>
    <row r="16" spans="1:22" ht="14.65" customHeight="1">
      <c r="A16" s="1534"/>
      <c r="C16" s="1443"/>
      <c r="D16" s="342"/>
      <c r="E16" s="800" t="s">
        <v>187</v>
      </c>
      <c r="F16" s="250"/>
      <c r="G16" s="250"/>
      <c r="H16" s="343"/>
      <c r="I16" s="343"/>
      <c r="J16" s="2507"/>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2024-11-14T09:12:42Z</dcterms:modified>
</cp:coreProperties>
</file>